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KALLIOPE\Progetti_Lavori\OOPP\PRATICHE_ATTIVE\_OPERE_INTERCOMUNALI\1OP22_0007_0001_SFIORI comune confine\GESTIONE\BOZZE\parcelle\"/>
    </mc:Choice>
  </mc:AlternateContent>
  <xr:revisionPtr revIDLastSave="0" documentId="13_ncr:1_{200EEC23-76E6-4288-8767-93343D8E3ED1}" xr6:coauthVersionLast="47" xr6:coauthVersionMax="47" xr10:uidLastSave="{00000000-0000-0000-0000-000000000000}"/>
  <bookViews>
    <workbookView xWindow="-19310" yWindow="-110" windowWidth="19420" windowHeight="10300" xr2:uid="{9FBAE652-F941-4F1F-B485-D5CA1E02F8B3}"/>
  </bookViews>
  <sheets>
    <sheet name="riliev_Lotti 1-2-3" sheetId="5" r:id="rId1"/>
    <sheet name="parcel_Lotti 1-2-3 " sheetId="1" r:id="rId2"/>
    <sheet name="LOTTO1" sheetId="2" r:id="rId3"/>
    <sheet name="LOTTO2" sheetId="3" r:id="rId4"/>
    <sheet name="LOTTO3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5" l="1"/>
  <c r="D61" i="5"/>
  <c r="C61" i="5"/>
  <c r="C57" i="5"/>
  <c r="C59" i="5"/>
  <c r="C58" i="5"/>
  <c r="C54" i="5"/>
  <c r="C56" i="5"/>
  <c r="E53" i="5"/>
  <c r="D53" i="5"/>
  <c r="C53" i="5"/>
  <c r="E59" i="5"/>
  <c r="D59" i="5"/>
  <c r="D46" i="5"/>
  <c r="D44" i="5"/>
  <c r="D43" i="5"/>
  <c r="E46" i="5"/>
  <c r="E44" i="5"/>
  <c r="E45" i="5"/>
  <c r="E43" i="5"/>
  <c r="G11" i="5"/>
  <c r="G16" i="5"/>
  <c r="H16" i="5" s="1"/>
  <c r="H19" i="5" s="1"/>
  <c r="G17" i="5"/>
  <c r="H17" i="5" s="1"/>
  <c r="G18" i="5"/>
  <c r="H18" i="5" s="1"/>
  <c r="G19" i="5" l="1"/>
  <c r="F46" i="5" l="1"/>
  <c r="D41" i="5"/>
  <c r="D37" i="5"/>
  <c r="E30" i="5"/>
  <c r="E29" i="5"/>
  <c r="E28" i="5"/>
  <c r="D30" i="5"/>
  <c r="E50" i="5" s="1"/>
  <c r="D29" i="5"/>
  <c r="D28" i="5"/>
  <c r="D23" i="2"/>
  <c r="D7" i="2"/>
  <c r="D21" i="2"/>
  <c r="D25" i="4"/>
  <c r="D23" i="4"/>
  <c r="D25" i="3"/>
  <c r="D23" i="3"/>
  <c r="M15" i="1"/>
  <c r="M21" i="1"/>
  <c r="M9" i="1"/>
  <c r="C50" i="5" l="1"/>
  <c r="D50" i="5"/>
  <c r="E57" i="5"/>
  <c r="F28" i="5"/>
  <c r="E51" i="5"/>
  <c r="E58" i="5"/>
  <c r="E61" i="5" s="1"/>
  <c r="F29" i="5"/>
  <c r="D57" i="5"/>
  <c r="D58" i="5"/>
  <c r="F30" i="5"/>
  <c r="C51" i="5"/>
  <c r="D51" i="5"/>
  <c r="E31" i="5"/>
  <c r="D31" i="5"/>
  <c r="F4" i="5"/>
  <c r="G4" i="5" s="1"/>
  <c r="F6" i="5"/>
  <c r="G6" i="5" s="1"/>
  <c r="F5" i="5"/>
  <c r="G5" i="5" s="1"/>
  <c r="E54" i="5" l="1"/>
  <c r="E56" i="5" s="1"/>
  <c r="G7" i="5"/>
  <c r="G12" i="5" s="1"/>
  <c r="D54" i="5"/>
  <c r="D56" i="5" s="1"/>
  <c r="K6" i="5"/>
  <c r="L6" i="5"/>
  <c r="L4" i="5"/>
  <c r="K4" i="5"/>
  <c r="K5" i="5"/>
  <c r="L5" i="5"/>
  <c r="E23" i="3"/>
  <c r="E23" i="4"/>
  <c r="J17" i="1"/>
  <c r="J18" i="1"/>
  <c r="J19" i="1"/>
  <c r="J16" i="1"/>
  <c r="J11" i="1"/>
  <c r="J12" i="1"/>
  <c r="J13" i="1"/>
  <c r="J10" i="1"/>
  <c r="J6" i="1"/>
  <c r="J7" i="1"/>
  <c r="J4" i="1"/>
  <c r="J5" i="1"/>
  <c r="D31" i="4"/>
  <c r="E31" i="4" s="1"/>
  <c r="E25" i="4"/>
  <c r="D38" i="4"/>
  <c r="D38" i="3"/>
  <c r="D31" i="3"/>
  <c r="E31" i="3" s="1"/>
  <c r="E25" i="3"/>
  <c r="D36" i="2"/>
  <c r="E36" i="2" s="1"/>
  <c r="D29" i="2"/>
  <c r="E29" i="2" s="1"/>
  <c r="E23" i="2"/>
  <c r="E21" i="2"/>
  <c r="D38" i="2" l="1"/>
  <c r="E38" i="2" s="1"/>
  <c r="F38" i="2" s="1"/>
  <c r="J14" i="1"/>
  <c r="D40" i="4"/>
  <c r="E40" i="4" s="1"/>
  <c r="F40" i="4" s="1"/>
  <c r="E38" i="4"/>
  <c r="D40" i="3"/>
  <c r="E40" i="3" s="1"/>
  <c r="F40" i="3" s="1"/>
  <c r="E38" i="3"/>
  <c r="I8" i="1" l="1"/>
  <c r="I14" i="1"/>
  <c r="J20" i="1" l="1"/>
  <c r="I20" i="1"/>
  <c r="J8" i="1"/>
  <c r="J9" i="1" s="1"/>
  <c r="L9" i="1" s="1"/>
  <c r="J15" i="1"/>
  <c r="L15" i="1" s="1"/>
  <c r="J21" i="1" l="1"/>
  <c r="J22" i="1" l="1"/>
  <c r="L21" i="1"/>
</calcChain>
</file>

<file path=xl/sharedStrings.xml><?xml version="1.0" encoding="utf-8"?>
<sst xmlns="http://schemas.openxmlformats.org/spreadsheetml/2006/main" count="262" uniqueCount="118">
  <si>
    <t>N</t>
  </si>
  <si>
    <t>Importo</t>
  </si>
  <si>
    <t>LOTTO 1</t>
  </si>
  <si>
    <t>LOTTO 2</t>
  </si>
  <si>
    <t>LOTTO 3</t>
  </si>
  <si>
    <t>SOMMA</t>
  </si>
  <si>
    <t>Categoria e ID delle opere</t>
  </si>
  <si>
    <t>L. 143/49 (Corrispondenza)</t>
  </si>
  <si>
    <t>G(grado complessità)</t>
  </si>
  <si>
    <t>Importo delle opere</t>
  </si>
  <si>
    <t>Specificità della prestazione
(art. 3, co.3 d.m. 17.6.2016)</t>
  </si>
  <si>
    <t>Spese e oneri</t>
  </si>
  <si>
    <t>A.02.1</t>
  </si>
  <si>
    <t>ACQUEDOTTI E FOGNATURE: D05
Impianti per provvista, condotta, distribuzione d'acqua - Fognature urbane - Condotte subacquee in genere, metanodotti e gasdotti, con problemi tecnici di tipo speciale</t>
  </si>
  <si>
    <t>VIII</t>
  </si>
  <si>
    <t>Progettazione esecutiva e PSC (QbIII.01,
QbIII.02, QbIII.03, QbIII.04, QbIII.05,
QbIII.07)</t>
  </si>
  <si>
    <t>TOTALE COMPRENSIVO DI SPESE ED ONERI (Lotto 1)</t>
  </si>
  <si>
    <t>A.02.2</t>
  </si>
  <si>
    <t>TOTALE COMPRENSIVO DI SPESE ED ONERI (Lotto 2)</t>
  </si>
  <si>
    <t>A.02.3</t>
  </si>
  <si>
    <t>TOTALE COMPRENSIVO DI SPESE ED ONERI (Lotto 3)</t>
  </si>
  <si>
    <t>TOTALE COMPRENSIVO DI SPESE ED ONERI (Lotti 1-2-3)</t>
  </si>
  <si>
    <t>DL, contabilità, coordinamento sicurezza,
CRE (QcI.01, QcI.02, QcI.09, QcI.11,
QcI.12)</t>
  </si>
  <si>
    <t>Relazioni generali e tecniche, elaborati grafici, calcolo delle strutture e degli impianti, eventuali relazioni sulla risoluzione delle interferenze e relazione sulla gestione materie [QbII.01=0.18]</t>
  </si>
  <si>
    <t>Disciplinare descrittivo e prestazionale [QbII.03=0.01]</t>
  </si>
  <si>
    <t>Piano particolareggiato d'esproprio [QbII.04=0.04]</t>
  </si>
  <si>
    <t>Elenco prezzi, computo metrico estimativo, quadro economico [QbII.05=0.05]</t>
  </si>
  <si>
    <t>Studio di inserimento urbanistico [QbII.06=0.01]</t>
  </si>
  <si>
    <t>Rilievi planoaltimetrici [QbII.07=0.02]</t>
  </si>
  <si>
    <t>Relazione idrologica [QbII.10=0.03]</t>
  </si>
  <si>
    <t>Relazione idraulica [QbII.11=0.03]</t>
  </si>
  <si>
    <t>Relazione sismica [QbII.12=0.03]</t>
  </si>
  <si>
    <t>Relazione geologica:</t>
  </si>
  <si>
    <t>- Fino a 250'000.00 €: QbII.13=0.133</t>
  </si>
  <si>
    <t>- Sull'eccedenza fino a 500'000.00 €: QbII.13=0.107</t>
  </si>
  <si>
    <t>- Sull'eccedenza fino a 1'000'000.00 €: QbII.13=0.096</t>
  </si>
  <si>
    <t>Relazione paesaggistica (d.lgs. 42/2004) [QbII.19=0.02]</t>
  </si>
  <si>
    <t>Aggiornamento delle prime indicazioni e prescrizioni per la redazione del PSC [QbII.23=0.01]</t>
  </si>
  <si>
    <t>Relazione generale e specialistiche, elaborati grafici, calcoli esecutivi [QbIII.01=0.11]</t>
  </si>
  <si>
    <t>Particolari costruttivi e decorativi [QbIII.02=0.05]</t>
  </si>
  <si>
    <t>Computo metrico estimativo, quadro economico, elenco prezzi e eventuale analisi, quadro dell'incidenza percentuale della quantita' di manodopera [QbIII.03=0.04]</t>
  </si>
  <si>
    <t>Schema di contratto, capitolato speciale d'appalto, cronoprogramma [QbIII.04=0.02]</t>
  </si>
  <si>
    <t>Piano di manutenzione dell'opera [QbIII.05=0.02]</t>
  </si>
  <si>
    <t>Piano di sicurezza e coordinamento [QbIII.07=0.1]</t>
  </si>
  <si>
    <t>Direzione lavori, assistenza al collaudo, prove di accettazione [QcI.01=0.42]</t>
  </si>
  <si>
    <t>Liquidazione (art. 194, comma 1, d.P.R. 207/2010) - Rendicontazioni e liquidazione tecnico contabile [QcI.02=0.04]</t>
  </si>
  <si>
    <t>Contabilita' dei lavori a misura:</t>
  </si>
  <si>
    <t>- Fino a 500'000.00 €: QcI.09=0.045</t>
  </si>
  <si>
    <t>- Sull'eccedenza fino a 1'000'000.00 €: QcI.09=0.09</t>
  </si>
  <si>
    <t>Certificato di regolare esecuzione [QcI.11=0.04]</t>
  </si>
  <si>
    <t>Coordinamento della sicurezza in esecuzione [QcI.12=0.25]</t>
  </si>
  <si>
    <t>GEOLOGICA</t>
  </si>
  <si>
    <t>ESECUTIVO</t>
  </si>
  <si>
    <t>DL</t>
  </si>
  <si>
    <t>Sull'eccedenza fino a 1'150'000.00 €: QbII.13=0.0943</t>
  </si>
  <si>
    <t>Sull'eccedenza fino a 1'200'000.00 €: QbII.13=0.09373</t>
  </si>
  <si>
    <t>Tabella n. 2 –Categorie, ID e tariffe</t>
  </si>
  <si>
    <t>Descrizione delle prestazioni</t>
  </si>
  <si>
    <t>CPV</t>
  </si>
  <si>
    <t xml:space="preserve"> Importo unitario</t>
  </si>
  <si>
    <t>quantità</t>
  </si>
  <si>
    <t>71300000-1</t>
  </si>
  <si>
    <t>Oneri per la sicurezza: DPI specifici, cartellonistica stradale, attrezzatura per accessibilità a luoghi
confinati o sospetti di inquinamento [NON SOGGETTO A RIBASSO]</t>
  </si>
  <si>
    <t>importo da definire</t>
  </si>
  <si>
    <t>TOTALE</t>
  </si>
  <si>
    <t>RILIEVO DEL MANUFATTO SCOLMATORE E MANUFATTI DI PERTINENZA:
esecuzione di rilievo geometrico e topografico del manufatto scolmatore oggetto di progettazione compresi 2 pozzetti a monte su tutte tubazioni afferenti e intera tubazione scarico, compresi manufatti e punto di scarico, redazione elaborati grafici di stato di fatto con dati geometrici</t>
  </si>
  <si>
    <r>
      <t>ANALISI IDRAULICA DEL MANUFATTO SCOLMATORE:
-  analisi idraulica, allo stato di fatto, supportata da misure speditive di portata, finalizzata a determinare il funzionamento rispetto a quanto previsto dalle vigenti normative e al dimensionamento di progetto;
-  verifica idraulica , allo stato di progetto, sulle funzionalità e sul dimensionamento dello scolmatore finalizzata a dimostrate il rispetto delle vigenti normative e redazione scheda monografica del "come costruto" riportante rappresentazione schematica</t>
    </r>
    <r>
      <rPr>
        <sz val="11"/>
        <color rgb="FFFF0000"/>
        <rFont val="Calibri"/>
        <family val="2"/>
        <scheme val="minor"/>
      </rPr>
      <t xml:space="preserve"> </t>
    </r>
  </si>
  <si>
    <t>Tabella n. 2.1 SERVIZI PARCELLA D.M. 17.6.2016</t>
  </si>
  <si>
    <t>Tabella n. 2.2 SERVIZI</t>
  </si>
  <si>
    <t>Numero Lotto</t>
  </si>
  <si>
    <t>tot</t>
  </si>
  <si>
    <t>2 sfiori di Rocca pietore già rilevati da idrostudi e 1 a Lentiai da Hyper</t>
  </si>
  <si>
    <t>1 sfioro a Fonzaso già rilevato da hyper</t>
  </si>
  <si>
    <t>3 Auronzo 2 Calalzo 2 Domegge e 3 Lozzo già rilevati da Hyper
3 Cortina già rilevati da idrostudi</t>
  </si>
  <si>
    <t>Requisiti capacità finanziaria (base gara x2)</t>
  </si>
  <si>
    <t>progettazione + analisi idraulica</t>
  </si>
  <si>
    <t>note</t>
  </si>
  <si>
    <t>Requisito tecnico importo opera x1,5)</t>
  </si>
  <si>
    <t>Relazione idrologica [QbI.07=0.015]</t>
  </si>
  <si>
    <t>Piano particellare preliminare dele aree  [QbI.03=0.02]</t>
  </si>
  <si>
    <t>Relazione idraulica [QbI.08=0.015]</t>
  </si>
  <si>
    <t>- Fino a 250'000.00 €: QbI.11=0.053</t>
  </si>
  <si>
    <t>- Sull'eccedenza fino a 500'000.00 €: QbI.11=0.048</t>
  </si>
  <si>
    <t>- Sull'eccedenza fino a 1'000'000.00 €: QbI.11=0.044</t>
  </si>
  <si>
    <t>Prime indicazioni piano di manutenzione [QbI.21=0.01]</t>
  </si>
  <si>
    <t>GEOLOGICA tot</t>
  </si>
  <si>
    <t>agg.PFTE</t>
  </si>
  <si>
    <t>- Sull'eccedenza fino a 1'200'000.00 €: QbI.11=0.04373</t>
  </si>
  <si>
    <t>aggiornam PFTE</t>
  </si>
  <si>
    <t>ok</t>
  </si>
  <si>
    <t>- Sull'eccedenza fino a 1'150'000.00 €: QbI.11=0.0438</t>
  </si>
  <si>
    <t>relazione geologica (QbI.11, QbII.13)</t>
  </si>
  <si>
    <t>Completamento progettazione di fattibilità tecnica-economica (QbI.03, QbI.07, QbI.08, QbI.21, QbII.01, QbII.03, QbII.04, QbII.05, QbII.06, QbII.07, QbII.10, QbII.11, QbII.12,
QbII.19, QbII.23)</t>
  </si>
  <si>
    <t>Oneri sicurezza da Duvri associtata all'attività di rilievo</t>
  </si>
  <si>
    <t>ATTIVITA' PREVALENTE</t>
  </si>
  <si>
    <t>SERVIZI PARCELLA D.M. 17.6.2016 - ACQUEDOTTI E FOGNATURE: D05</t>
  </si>
  <si>
    <t>ATTIVITA' SECONDARIE</t>
  </si>
  <si>
    <t xml:space="preserve">Analisi idraulica </t>
  </si>
  <si>
    <t>NON SOGGETTI A RIBASSO</t>
  </si>
  <si>
    <t>Spese e oneri ACCESORI soggetti a ribasso</t>
  </si>
  <si>
    <t>Importo parcella non soggetta a ribasso</t>
  </si>
  <si>
    <t>soggetti a ribasso</t>
  </si>
  <si>
    <t>oneri sicurezza</t>
  </si>
  <si>
    <t>tot base gara soggetto a ribasso</t>
  </si>
  <si>
    <t>Importo complessivo di spese e oneri accessori, esclusi oneri sicurezza</t>
  </si>
  <si>
    <t>Valore lotto escluso oneri e spese</t>
  </si>
  <si>
    <t>importo per servizi analoghi</t>
  </si>
  <si>
    <t>importo quindi d'obbligo escluso oneri</t>
  </si>
  <si>
    <t>Modifiche ex. Art. 120 comma 1 lett. A) e comma 5 e 6</t>
  </si>
  <si>
    <t>Importo complessivo</t>
  </si>
  <si>
    <t>Riepilogo prestazioni</t>
  </si>
  <si>
    <t>RILIEVO DEL MANUFATTO SCOLMATORE E MANUFATTI DI PERTINENZA</t>
  </si>
  <si>
    <t>Importo prestazione</t>
  </si>
  <si>
    <t>importo quindo d'obbligo complessivo</t>
  </si>
  <si>
    <t>importo quindi d'obbligo di spese e oneri accessori</t>
  </si>
  <si>
    <t>Valore globale lotto</t>
  </si>
  <si>
    <t>spese e oneri accessori</t>
  </si>
  <si>
    <t>spese e oneri accessori (25% parcelle e attività analisi idraulica)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</si>
</sst>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000000"/>
      <name val="Tahoma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b/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0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44" fontId="0" fillId="0" borderId="1" xfId="1" applyFont="1" applyBorder="1" applyAlignment="1">
      <alignment horizontal="center" vertical="center"/>
    </xf>
    <xf numFmtId="44" fontId="0" fillId="0" borderId="0" xfId="0" applyNumberFormat="1"/>
    <xf numFmtId="0" fontId="0" fillId="0" borderId="0" xfId="0" applyAlignment="1">
      <alignment horizontal="center" vertical="center"/>
    </xf>
    <xf numFmtId="0" fontId="5" fillId="3" borderId="0" xfId="0" applyFont="1" applyFill="1" applyAlignment="1">
      <alignment vertical="center" wrapText="1"/>
    </xf>
    <xf numFmtId="0" fontId="5" fillId="4" borderId="0" xfId="0" applyFont="1" applyFill="1" applyAlignment="1">
      <alignment vertical="center" wrapText="1"/>
    </xf>
    <xf numFmtId="0" fontId="5" fillId="5" borderId="0" xfId="0" applyFont="1" applyFill="1" applyAlignment="1">
      <alignment vertical="center" wrapText="1"/>
    </xf>
    <xf numFmtId="0" fontId="5" fillId="6" borderId="0" xfId="0" applyFont="1" applyFill="1" applyAlignment="1">
      <alignment vertical="center" wrapText="1"/>
    </xf>
    <xf numFmtId="44" fontId="0" fillId="0" borderId="0" xfId="1" applyFont="1"/>
    <xf numFmtId="44" fontId="5" fillId="4" borderId="0" xfId="1" applyFont="1" applyFill="1" applyAlignment="1">
      <alignment horizontal="right" vertical="center" wrapText="1"/>
    </xf>
    <xf numFmtId="44" fontId="5" fillId="3" borderId="0" xfId="1" applyFont="1" applyFill="1" applyAlignment="1">
      <alignment horizontal="right" vertical="center" wrapText="1"/>
    </xf>
    <xf numFmtId="44" fontId="5" fillId="6" borderId="0" xfId="1" applyFont="1" applyFill="1" applyAlignment="1">
      <alignment horizontal="right" vertical="center" wrapText="1"/>
    </xf>
    <xf numFmtId="8" fontId="5" fillId="4" borderId="0" xfId="1" applyNumberFormat="1" applyFont="1" applyFill="1" applyAlignment="1">
      <alignment horizontal="right" vertical="center" wrapText="1"/>
    </xf>
    <xf numFmtId="8" fontId="5" fillId="3" borderId="0" xfId="1" applyNumberFormat="1" applyFont="1" applyFill="1" applyAlignment="1">
      <alignment horizontal="right" vertical="center" wrapText="1"/>
    </xf>
    <xf numFmtId="8" fontId="5" fillId="5" borderId="0" xfId="1" applyNumberFormat="1" applyFont="1" applyFill="1" applyAlignment="1">
      <alignment horizontal="right" vertical="center" wrapText="1"/>
    </xf>
    <xf numFmtId="8" fontId="5" fillId="6" borderId="0" xfId="1" applyNumberFormat="1" applyFont="1" applyFill="1" applyAlignment="1">
      <alignment horizontal="right" vertical="center" wrapText="1"/>
    </xf>
    <xf numFmtId="8" fontId="0" fillId="0" borderId="0" xfId="0" applyNumberFormat="1"/>
    <xf numFmtId="0" fontId="5" fillId="0" borderId="0" xfId="0" applyFont="1"/>
    <xf numFmtId="8" fontId="2" fillId="0" borderId="0" xfId="0" applyNumberFormat="1" applyFont="1"/>
    <xf numFmtId="0" fontId="0" fillId="7" borderId="0" xfId="0" applyFill="1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4" fontId="8" fillId="0" borderId="1" xfId="1" applyFont="1" applyBorder="1" applyAlignment="1">
      <alignment horizontal="center" vertical="center"/>
    </xf>
    <xf numFmtId="44" fontId="8" fillId="0" borderId="1" xfId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4" fontId="10" fillId="2" borderId="1" xfId="1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44" fontId="9" fillId="0" borderId="1" xfId="1" applyFont="1" applyBorder="1"/>
    <xf numFmtId="44" fontId="8" fillId="0" borderId="1" xfId="1" applyFont="1" applyBorder="1"/>
    <xf numFmtId="8" fontId="8" fillId="0" borderId="0" xfId="0" applyNumberFormat="1" applyFont="1" applyAlignment="1">
      <alignment vertical="center"/>
    </xf>
    <xf numFmtId="44" fontId="11" fillId="9" borderId="1" xfId="0" applyNumberFormat="1" applyFont="1" applyFill="1" applyBorder="1"/>
    <xf numFmtId="0" fontId="8" fillId="0" borderId="7" xfId="0" applyFont="1" applyBorder="1" applyAlignment="1">
      <alignment horizontal="right"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5" xfId="0" applyFont="1" applyBorder="1"/>
    <xf numFmtId="0" fontId="8" fillId="0" borderId="6" xfId="0" applyFont="1" applyBorder="1"/>
    <xf numFmtId="0" fontId="10" fillId="2" borderId="7" xfId="0" applyFont="1" applyFill="1" applyBorder="1" applyAlignment="1">
      <alignment horizontal="right"/>
    </xf>
    <xf numFmtId="0" fontId="10" fillId="2" borderId="5" xfId="0" applyFont="1" applyFill="1" applyBorder="1"/>
    <xf numFmtId="0" fontId="10" fillId="2" borderId="6" xfId="0" applyFont="1" applyFill="1" applyBorder="1"/>
    <xf numFmtId="0" fontId="10" fillId="2" borderId="5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11" fillId="9" borderId="7" xfId="0" applyFont="1" applyFill="1" applyBorder="1" applyAlignment="1">
      <alignment horizontal="right"/>
    </xf>
    <xf numFmtId="0" fontId="11" fillId="9" borderId="5" xfId="0" applyFont="1" applyFill="1" applyBorder="1"/>
    <xf numFmtId="0" fontId="11" fillId="9" borderId="6" xfId="0" applyFont="1" applyFill="1" applyBorder="1"/>
    <xf numFmtId="44" fontId="7" fillId="0" borderId="1" xfId="0" applyNumberFormat="1" applyFont="1" applyBorder="1" applyAlignment="1">
      <alignment horizontal="center" vertical="center"/>
    </xf>
    <xf numFmtId="44" fontId="3" fillId="2" borderId="4" xfId="0" applyNumberFormat="1" applyFont="1" applyFill="1" applyBorder="1" applyAlignment="1">
      <alignment horizontal="center" vertical="center"/>
    </xf>
    <xf numFmtId="0" fontId="0" fillId="0" borderId="1" xfId="0" applyBorder="1"/>
    <xf numFmtId="44" fontId="0" fillId="0" borderId="1" xfId="0" applyNumberFormat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44" fontId="7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0" fillId="8" borderId="0" xfId="0" applyFill="1"/>
    <xf numFmtId="44" fontId="2" fillId="0" borderId="0" xfId="0" applyNumberFormat="1" applyFont="1"/>
    <xf numFmtId="44" fontId="10" fillId="10" borderId="1" xfId="1" applyFont="1" applyFill="1" applyBorder="1"/>
    <xf numFmtId="0" fontId="2" fillId="10" borderId="0" xfId="0" applyFont="1" applyFill="1" applyAlignment="1">
      <alignment wrapText="1"/>
    </xf>
    <xf numFmtId="0" fontId="6" fillId="0" borderId="0" xfId="0" applyFont="1"/>
    <xf numFmtId="0" fontId="2" fillId="11" borderId="0" xfId="0" applyFont="1" applyFill="1" applyAlignment="1">
      <alignment wrapText="1"/>
    </xf>
    <xf numFmtId="44" fontId="10" fillId="11" borderId="1" xfId="1" applyFont="1" applyFill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7" borderId="0" xfId="0" applyFont="1" applyFill="1" applyAlignment="1">
      <alignment vertical="center" wrapText="1"/>
    </xf>
    <xf numFmtId="44" fontId="5" fillId="7" borderId="0" xfId="1" applyFont="1" applyFill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44" fontId="5" fillId="0" borderId="0" xfId="1" applyFont="1" applyFill="1" applyAlignment="1">
      <alignment horizontal="right" vertical="center" wrapText="1"/>
    </xf>
    <xf numFmtId="0" fontId="5" fillId="0" borderId="0" xfId="0" quotePrefix="1" applyFont="1" applyAlignment="1">
      <alignment vertical="center" wrapText="1"/>
    </xf>
    <xf numFmtId="8" fontId="5" fillId="7" borderId="0" xfId="1" applyNumberFormat="1" applyFont="1" applyFill="1" applyAlignment="1">
      <alignment horizontal="right" vertical="center" wrapText="1"/>
    </xf>
    <xf numFmtId="0" fontId="9" fillId="11" borderId="1" xfId="0" applyFont="1" applyFill="1" applyBorder="1" applyAlignment="1">
      <alignment wrapText="1"/>
    </xf>
    <xf numFmtId="0" fontId="8" fillId="11" borderId="1" xfId="0" applyFont="1" applyFill="1" applyBorder="1"/>
    <xf numFmtId="0" fontId="0" fillId="0" borderId="8" xfId="0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11" xfId="0" applyNumberFormat="1" applyBorder="1" applyAlignment="1">
      <alignment horizontal="center" vertical="center"/>
    </xf>
    <xf numFmtId="44" fontId="2" fillId="0" borderId="14" xfId="0" applyNumberFormat="1" applyFont="1" applyBorder="1"/>
    <xf numFmtId="44" fontId="2" fillId="0" borderId="15" xfId="0" applyNumberFormat="1" applyFont="1" applyBorder="1"/>
    <xf numFmtId="44" fontId="0" fillId="0" borderId="1" xfId="0" applyNumberFormat="1" applyBorder="1"/>
    <xf numFmtId="0" fontId="0" fillId="0" borderId="16" xfId="0" applyBorder="1" applyAlignment="1">
      <alignment horizontal="center" vertical="center"/>
    </xf>
    <xf numFmtId="44" fontId="2" fillId="0" borderId="1" xfId="0" applyNumberFormat="1" applyFont="1" applyBorder="1"/>
    <xf numFmtId="0" fontId="2" fillId="0" borderId="1" xfId="0" applyFont="1" applyBorder="1"/>
    <xf numFmtId="0" fontId="2" fillId="0" borderId="2" xfId="0" applyFont="1" applyBorder="1" applyAlignment="1">
      <alignment horizontal="center" vertical="center"/>
    </xf>
    <xf numFmtId="44" fontId="0" fillId="12" borderId="1" xfId="0" applyNumberFormat="1" applyFill="1" applyBorder="1"/>
    <xf numFmtId="44" fontId="0" fillId="12" borderId="9" xfId="0" applyNumberFormat="1" applyFill="1" applyBorder="1"/>
    <xf numFmtId="44" fontId="0" fillId="12" borderId="17" xfId="0" applyNumberFormat="1" applyFill="1" applyBorder="1"/>
    <xf numFmtId="0" fontId="12" fillId="0" borderId="0" xfId="0" applyFont="1"/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44" fontId="0" fillId="0" borderId="13" xfId="0" applyNumberFormat="1" applyBorder="1"/>
    <xf numFmtId="44" fontId="2" fillId="0" borderId="21" xfId="0" applyNumberFormat="1" applyFont="1" applyBorder="1"/>
    <xf numFmtId="0" fontId="2" fillId="0" borderId="20" xfId="0" applyFont="1" applyBorder="1"/>
    <xf numFmtId="0" fontId="0" fillId="0" borderId="8" xfId="0" applyBorder="1"/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0" fillId="0" borderId="13" xfId="0" applyBorder="1"/>
    <xf numFmtId="44" fontId="2" fillId="0" borderId="13" xfId="0" applyNumberFormat="1" applyFont="1" applyBorder="1"/>
    <xf numFmtId="0" fontId="0" fillId="12" borderId="1" xfId="0" applyFill="1" applyBorder="1"/>
    <xf numFmtId="44" fontId="13" fillId="0" borderId="0" xfId="0" applyNumberFormat="1" applyFont="1"/>
    <xf numFmtId="0" fontId="0" fillId="0" borderId="2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4" fontId="0" fillId="0" borderId="2" xfId="1" applyFont="1" applyFill="1" applyBorder="1" applyAlignment="1">
      <alignment horizontal="center" vertical="center"/>
    </xf>
    <xf numFmtId="44" fontId="0" fillId="0" borderId="3" xfId="1" applyFont="1" applyFill="1" applyBorder="1" applyAlignment="1">
      <alignment horizontal="center" vertical="center"/>
    </xf>
    <xf numFmtId="44" fontId="0" fillId="0" borderId="4" xfId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44" fontId="8" fillId="0" borderId="2" xfId="1" applyFont="1" applyBorder="1" applyAlignment="1">
      <alignment horizontal="center" vertical="center"/>
    </xf>
    <xf numFmtId="44" fontId="8" fillId="0" borderId="3" xfId="1" applyFont="1" applyBorder="1" applyAlignment="1">
      <alignment horizontal="center" vertical="center"/>
    </xf>
    <xf numFmtId="44" fontId="8" fillId="0" borderId="4" xfId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4" fontId="0" fillId="0" borderId="1" xfId="0" applyNumberFormat="1" applyFill="1" applyBorder="1"/>
    <xf numFmtId="0" fontId="2" fillId="0" borderId="1" xfId="0" applyFont="1" applyFill="1" applyBorder="1"/>
    <xf numFmtId="0" fontId="0" fillId="2" borderId="0" xfId="0" applyFill="1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44" fontId="7" fillId="0" borderId="0" xfId="0" applyNumberFormat="1" applyFont="1" applyBorder="1" applyAlignment="1">
      <alignment horizontal="center" vertical="center"/>
    </xf>
    <xf numFmtId="44" fontId="0" fillId="0" borderId="0" xfId="0" applyNumberFormat="1" applyBorder="1" applyAlignment="1">
      <alignment horizontal="center" vertical="center"/>
    </xf>
    <xf numFmtId="44" fontId="3" fillId="2" borderId="0" xfId="0" applyNumberFormat="1" applyFont="1" applyFill="1" applyBorder="1" applyAlignment="1">
      <alignment horizontal="center" vertical="center"/>
    </xf>
    <xf numFmtId="44" fontId="14" fillId="0" borderId="9" xfId="0" applyNumberFormat="1" applyFont="1" applyFill="1" applyBorder="1"/>
    <xf numFmtId="44" fontId="14" fillId="0" borderId="17" xfId="0" applyNumberFormat="1" applyFont="1" applyFill="1" applyBorder="1"/>
    <xf numFmtId="44" fontId="15" fillId="0" borderId="21" xfId="0" applyNumberFormat="1" applyFont="1" applyFill="1" applyBorder="1"/>
    <xf numFmtId="44" fontId="16" fillId="0" borderId="21" xfId="0" applyNumberFormat="1" applyFont="1" applyFill="1" applyBorder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F5159-474B-4753-9A94-1C989F5089E6}">
  <sheetPr>
    <pageSetUpPr fitToPage="1"/>
  </sheetPr>
  <dimension ref="A1:T65"/>
  <sheetViews>
    <sheetView tabSelected="1" topLeftCell="A27" zoomScale="85" zoomScaleNormal="85" workbookViewId="0">
      <selection activeCell="E44" sqref="E44"/>
    </sheetView>
  </sheetViews>
  <sheetFormatPr defaultRowHeight="14.4" x14ac:dyDescent="0.3"/>
  <cols>
    <col min="2" max="2" width="89.5546875" customWidth="1"/>
    <col min="3" max="3" width="14.5546875" bestFit="1" customWidth="1"/>
    <col min="4" max="5" width="16.109375" customWidth="1"/>
    <col min="6" max="6" width="16.44140625" customWidth="1"/>
    <col min="7" max="8" width="31.6640625" style="6" customWidth="1"/>
    <col min="9" max="9" width="44.88671875" customWidth="1"/>
    <col min="10" max="11" width="46.33203125" customWidth="1"/>
    <col min="12" max="12" width="38.33203125" customWidth="1"/>
    <col min="13" max="13" width="10.44140625" bestFit="1" customWidth="1"/>
  </cols>
  <sheetData>
    <row r="1" spans="1:20" x14ac:dyDescent="0.3">
      <c r="A1" t="s">
        <v>56</v>
      </c>
    </row>
    <row r="2" spans="1:20" x14ac:dyDescent="0.3">
      <c r="B2" s="1" t="s">
        <v>68</v>
      </c>
      <c r="P2" s="22"/>
      <c r="Q2" s="22"/>
    </row>
    <row r="3" spans="1:20" s="6" customFormat="1" x14ac:dyDescent="0.3">
      <c r="A3" s="23" t="s">
        <v>0</v>
      </c>
      <c r="B3" s="23" t="s">
        <v>57</v>
      </c>
      <c r="C3" s="23" t="s">
        <v>58</v>
      </c>
      <c r="D3" s="23" t="s">
        <v>59</v>
      </c>
      <c r="E3" s="23"/>
      <c r="F3" s="23" t="s">
        <v>60</v>
      </c>
      <c r="G3" s="23" t="s">
        <v>1</v>
      </c>
      <c r="I3" s="6" t="s">
        <v>76</v>
      </c>
      <c r="K3" s="62" t="s">
        <v>74</v>
      </c>
      <c r="L3" s="64" t="s">
        <v>77</v>
      </c>
    </row>
    <row r="4" spans="1:20" ht="45" customHeight="1" x14ac:dyDescent="0.3">
      <c r="A4" s="108">
        <v>1</v>
      </c>
      <c r="B4" s="111" t="s">
        <v>65</v>
      </c>
      <c r="C4" s="108">
        <v>71351810</v>
      </c>
      <c r="D4" s="114">
        <v>500</v>
      </c>
      <c r="E4" s="24" t="s">
        <v>2</v>
      </c>
      <c r="F4" s="25">
        <f>20-3-2-2-3-3</f>
        <v>7</v>
      </c>
      <c r="G4" s="4">
        <f>+F4*$D$4</f>
        <v>3500</v>
      </c>
      <c r="I4" s="58" t="s">
        <v>73</v>
      </c>
      <c r="K4" s="4">
        <f>+G4*2</f>
        <v>7000</v>
      </c>
      <c r="L4" s="4">
        <f>+G4</f>
        <v>3500</v>
      </c>
    </row>
    <row r="5" spans="1:20" ht="45" customHeight="1" x14ac:dyDescent="0.3">
      <c r="A5" s="109"/>
      <c r="B5" s="112"/>
      <c r="C5" s="109"/>
      <c r="D5" s="115"/>
      <c r="E5" s="24" t="s">
        <v>3</v>
      </c>
      <c r="F5" s="24">
        <f>30-2-1</f>
        <v>27</v>
      </c>
      <c r="G5" s="4">
        <f>+F5*$D$4</f>
        <v>13500</v>
      </c>
      <c r="H5" s="132"/>
      <c r="I5" s="57" t="s">
        <v>71</v>
      </c>
      <c r="K5" s="4">
        <f>+G5*2</f>
        <v>27000</v>
      </c>
      <c r="L5" s="4">
        <f>+G5</f>
        <v>13500</v>
      </c>
      <c r="P5" s="59"/>
      <c r="Q5" s="59"/>
      <c r="R5" s="59"/>
      <c r="S5" s="59"/>
      <c r="T5" s="59"/>
    </row>
    <row r="6" spans="1:20" ht="45" customHeight="1" x14ac:dyDescent="0.35">
      <c r="A6" s="110"/>
      <c r="B6" s="113"/>
      <c r="C6" s="110"/>
      <c r="D6" s="116"/>
      <c r="E6" s="24" t="s">
        <v>4</v>
      </c>
      <c r="F6" s="24">
        <f>27-1</f>
        <v>26</v>
      </c>
      <c r="G6" s="4">
        <f>+F6*$D$4</f>
        <v>13000</v>
      </c>
      <c r="H6" s="132"/>
      <c r="I6" t="s">
        <v>72</v>
      </c>
      <c r="K6" s="4">
        <f>+G6*2</f>
        <v>26000</v>
      </c>
      <c r="L6" s="4">
        <f>+G6</f>
        <v>13000</v>
      </c>
      <c r="M6" s="63"/>
    </row>
    <row r="7" spans="1:20" ht="18.75" customHeight="1" x14ac:dyDescent="0.3">
      <c r="A7" s="106" t="s">
        <v>5</v>
      </c>
      <c r="B7" s="106"/>
      <c r="C7" s="106"/>
      <c r="D7" s="106"/>
      <c r="E7" s="106"/>
      <c r="F7" s="106"/>
      <c r="G7" s="51">
        <f>+SUM(G4:G6)</f>
        <v>30000</v>
      </c>
      <c r="H7" s="133"/>
      <c r="K7" s="2"/>
    </row>
    <row r="8" spans="1:20" ht="30" customHeight="1" x14ac:dyDescent="0.3">
      <c r="A8" s="108">
        <v>2</v>
      </c>
      <c r="B8" s="111" t="s">
        <v>62</v>
      </c>
      <c r="C8" s="108" t="s">
        <v>61</v>
      </c>
      <c r="D8" s="53"/>
      <c r="E8" s="24" t="s">
        <v>2</v>
      </c>
      <c r="F8" s="53"/>
      <c r="G8" s="54">
        <v>705</v>
      </c>
      <c r="H8" s="134"/>
      <c r="I8" t="s">
        <v>63</v>
      </c>
    </row>
    <row r="9" spans="1:20" x14ac:dyDescent="0.3">
      <c r="A9" s="109"/>
      <c r="B9" s="112"/>
      <c r="C9" s="109"/>
      <c r="D9" s="53"/>
      <c r="E9" s="24" t="s">
        <v>3</v>
      </c>
      <c r="F9" s="53"/>
      <c r="G9" s="55">
        <v>1005</v>
      </c>
      <c r="H9" s="134"/>
    </row>
    <row r="10" spans="1:20" x14ac:dyDescent="0.3">
      <c r="A10" s="110"/>
      <c r="B10" s="113"/>
      <c r="C10" s="110"/>
      <c r="D10" s="53"/>
      <c r="E10" s="24" t="s">
        <v>4</v>
      </c>
      <c r="F10" s="53"/>
      <c r="G10" s="55">
        <v>945</v>
      </c>
      <c r="H10" s="134"/>
    </row>
    <row r="11" spans="1:20" x14ac:dyDescent="0.3">
      <c r="A11" s="117" t="s">
        <v>5</v>
      </c>
      <c r="B11" s="118"/>
      <c r="C11" s="118"/>
      <c r="D11" s="118"/>
      <c r="E11" s="118"/>
      <c r="F11" s="119"/>
      <c r="G11" s="56">
        <f>+G10+G9+G8</f>
        <v>2655</v>
      </c>
      <c r="H11" s="133"/>
    </row>
    <row r="12" spans="1:20" x14ac:dyDescent="0.3">
      <c r="A12" s="107" t="s">
        <v>64</v>
      </c>
      <c r="B12" s="107"/>
      <c r="C12" s="107"/>
      <c r="D12" s="107"/>
      <c r="E12" s="107"/>
      <c r="F12" s="107"/>
      <c r="G12" s="52">
        <f>+G11+G7</f>
        <v>32655</v>
      </c>
      <c r="H12" s="135"/>
    </row>
    <row r="14" spans="1:20" x14ac:dyDescent="0.3">
      <c r="L14" s="24"/>
    </row>
    <row r="15" spans="1:20" x14ac:dyDescent="0.3">
      <c r="A15" s="23" t="s">
        <v>0</v>
      </c>
      <c r="B15" s="23" t="s">
        <v>57</v>
      </c>
      <c r="C15" s="23" t="s">
        <v>58</v>
      </c>
      <c r="D15" s="23" t="s">
        <v>59</v>
      </c>
      <c r="E15" s="23"/>
      <c r="F15" s="23" t="s">
        <v>60</v>
      </c>
      <c r="G15" s="23" t="s">
        <v>1</v>
      </c>
      <c r="H15" s="131" t="s">
        <v>116</v>
      </c>
      <c r="L15" s="24"/>
    </row>
    <row r="16" spans="1:20" ht="45" customHeight="1" x14ac:dyDescent="0.3">
      <c r="A16" s="108">
        <v>1</v>
      </c>
      <c r="B16" s="111" t="s">
        <v>66</v>
      </c>
      <c r="C16" s="108" t="s">
        <v>61</v>
      </c>
      <c r="D16" s="114">
        <v>500</v>
      </c>
      <c r="E16" s="24" t="s">
        <v>2</v>
      </c>
      <c r="F16" s="25">
        <v>20</v>
      </c>
      <c r="G16" s="4">
        <f>+F16*$D$16</f>
        <v>10000</v>
      </c>
      <c r="H16" s="132">
        <f>+G16*0.25</f>
        <v>2500</v>
      </c>
    </row>
    <row r="17" spans="1:13" ht="45" customHeight="1" x14ac:dyDescent="0.3">
      <c r="A17" s="109"/>
      <c r="B17" s="112"/>
      <c r="C17" s="109"/>
      <c r="D17" s="115"/>
      <c r="E17" s="24" t="s">
        <v>3</v>
      </c>
      <c r="F17" s="24">
        <v>30</v>
      </c>
      <c r="G17" s="4">
        <f>+F17*$D$16</f>
        <v>15000</v>
      </c>
      <c r="H17" s="132">
        <f t="shared" ref="H17:H18" si="0">+G17*0.25</f>
        <v>3750</v>
      </c>
    </row>
    <row r="18" spans="1:13" ht="45" customHeight="1" x14ac:dyDescent="0.35">
      <c r="A18" s="110"/>
      <c r="B18" s="113"/>
      <c r="C18" s="110"/>
      <c r="D18" s="116"/>
      <c r="E18" s="24" t="s">
        <v>4</v>
      </c>
      <c r="F18" s="24">
        <v>27</v>
      </c>
      <c r="G18" s="4">
        <f>+F18*$D$16</f>
        <v>13500</v>
      </c>
      <c r="H18" s="132">
        <f t="shared" si="0"/>
        <v>3375</v>
      </c>
      <c r="L18" s="63"/>
      <c r="M18" s="63"/>
    </row>
    <row r="19" spans="1:13" x14ac:dyDescent="0.3">
      <c r="A19" s="106" t="s">
        <v>5</v>
      </c>
      <c r="B19" s="106"/>
      <c r="C19" s="106"/>
      <c r="D19" s="106"/>
      <c r="E19" s="106"/>
      <c r="F19" s="106"/>
      <c r="G19" s="51">
        <f>+SUM(G16:G18)</f>
        <v>38500</v>
      </c>
      <c r="H19" s="51">
        <f>+SUM(H16:H18)</f>
        <v>9625</v>
      </c>
    </row>
    <row r="25" spans="1:13" ht="21" x14ac:dyDescent="0.4">
      <c r="A25" s="89" t="s">
        <v>110</v>
      </c>
    </row>
    <row r="26" spans="1:13" ht="15" thickBot="1" x14ac:dyDescent="0.35"/>
    <row r="27" spans="1:13" ht="34.049999999999997" customHeight="1" x14ac:dyDescent="0.3">
      <c r="B27" s="94" t="s">
        <v>94</v>
      </c>
      <c r="C27" s="95"/>
      <c r="D27" s="96" t="s">
        <v>100</v>
      </c>
      <c r="E27" s="97" t="s">
        <v>99</v>
      </c>
    </row>
    <row r="28" spans="1:13" x14ac:dyDescent="0.3">
      <c r="B28" s="102" t="s">
        <v>95</v>
      </c>
      <c r="C28" s="24" t="s">
        <v>2</v>
      </c>
      <c r="D28" s="81">
        <f>+'parcel_Lotti 1-2-3 '!I8</f>
        <v>100681.44</v>
      </c>
      <c r="E28" s="88">
        <f>+'parcel_Lotti 1-2-3 '!J8</f>
        <v>25170.36</v>
      </c>
      <c r="F28" s="101">
        <f>+E28+D28</f>
        <v>125851.8</v>
      </c>
    </row>
    <row r="29" spans="1:13" x14ac:dyDescent="0.3">
      <c r="B29" s="103"/>
      <c r="C29" s="24" t="s">
        <v>3</v>
      </c>
      <c r="D29" s="81">
        <f>+'parcel_Lotti 1-2-3 '!I14</f>
        <v>116022.42000000001</v>
      </c>
      <c r="E29" s="88">
        <f>+'parcel_Lotti 1-2-3 '!J14</f>
        <v>29005.605000000003</v>
      </c>
      <c r="F29" s="101">
        <f t="shared" ref="F29:F30" si="1">+E29+D29</f>
        <v>145028.02500000002</v>
      </c>
      <c r="G29" s="6">
        <v>29005.605000000003</v>
      </c>
    </row>
    <row r="30" spans="1:13" x14ac:dyDescent="0.3">
      <c r="B30" s="104"/>
      <c r="C30" s="24" t="s">
        <v>4</v>
      </c>
      <c r="D30" s="81">
        <f>+'parcel_Lotti 1-2-3 '!I20</f>
        <v>112236.34</v>
      </c>
      <c r="E30" s="88">
        <f>+'parcel_Lotti 1-2-3 '!J20</f>
        <v>28059.084999999999</v>
      </c>
      <c r="F30" s="101">
        <f t="shared" si="1"/>
        <v>140295.42499999999</v>
      </c>
      <c r="G30" s="6">
        <v>28059.084999999999</v>
      </c>
      <c r="K30" s="11"/>
      <c r="L30" s="11"/>
    </row>
    <row r="31" spans="1:13" ht="15" thickBot="1" x14ac:dyDescent="0.35">
      <c r="B31" s="90" t="s">
        <v>70</v>
      </c>
      <c r="C31" s="98"/>
      <c r="D31" s="99">
        <f>SUM(D28:D30)</f>
        <v>328940.2</v>
      </c>
      <c r="E31" s="93">
        <f>SUM(E28:E30)</f>
        <v>82235.05</v>
      </c>
    </row>
    <row r="32" spans="1:13" ht="15" thickBot="1" x14ac:dyDescent="0.35"/>
    <row r="33" spans="2:6" ht="15" thickBot="1" x14ac:dyDescent="0.35">
      <c r="B33" s="1" t="s">
        <v>96</v>
      </c>
      <c r="D33" s="96" t="s">
        <v>112</v>
      </c>
    </row>
    <row r="34" spans="2:6" x14ac:dyDescent="0.3">
      <c r="B34" s="105" t="s">
        <v>111</v>
      </c>
      <c r="C34" s="76" t="s">
        <v>2</v>
      </c>
      <c r="D34" s="87">
        <v>3500</v>
      </c>
    </row>
    <row r="35" spans="2:6" x14ac:dyDescent="0.3">
      <c r="B35" s="103"/>
      <c r="C35" s="24" t="s">
        <v>3</v>
      </c>
      <c r="D35" s="88">
        <v>13500</v>
      </c>
    </row>
    <row r="36" spans="2:6" x14ac:dyDescent="0.3">
      <c r="B36" s="103"/>
      <c r="C36" s="24" t="s">
        <v>4</v>
      </c>
      <c r="D36" s="88">
        <v>13000</v>
      </c>
    </row>
    <row r="37" spans="2:6" ht="15" thickBot="1" x14ac:dyDescent="0.35">
      <c r="B37" s="90" t="s">
        <v>70</v>
      </c>
      <c r="C37" s="82"/>
      <c r="D37" s="79">
        <f>SUM(D34:D36)</f>
        <v>30000</v>
      </c>
      <c r="E37" t="s">
        <v>101</v>
      </c>
    </row>
    <row r="38" spans="2:6" x14ac:dyDescent="0.3">
      <c r="B38" s="105" t="s">
        <v>93</v>
      </c>
      <c r="C38" s="76" t="s">
        <v>2</v>
      </c>
      <c r="D38" s="77">
        <v>705</v>
      </c>
    </row>
    <row r="39" spans="2:6" x14ac:dyDescent="0.3">
      <c r="B39" s="103"/>
      <c r="C39" s="24" t="s">
        <v>3</v>
      </c>
      <c r="D39" s="78">
        <v>1005</v>
      </c>
    </row>
    <row r="40" spans="2:6" x14ac:dyDescent="0.3">
      <c r="B40" s="103"/>
      <c r="C40" s="24" t="s">
        <v>4</v>
      </c>
      <c r="D40" s="78">
        <v>945</v>
      </c>
    </row>
    <row r="41" spans="2:6" ht="15" thickBot="1" x14ac:dyDescent="0.35">
      <c r="B41" s="91" t="s">
        <v>70</v>
      </c>
      <c r="C41" s="66"/>
      <c r="D41" s="80">
        <f>SUM(D38:D40)</f>
        <v>2655</v>
      </c>
      <c r="E41" t="s">
        <v>98</v>
      </c>
    </row>
    <row r="42" spans="2:6" ht="21" thickBot="1" x14ac:dyDescent="0.35">
      <c r="B42" s="91"/>
      <c r="C42" s="67"/>
      <c r="D42" s="96" t="s">
        <v>100</v>
      </c>
      <c r="E42" s="97" t="s">
        <v>99</v>
      </c>
    </row>
    <row r="43" spans="2:6" x14ac:dyDescent="0.3">
      <c r="B43" s="105" t="s">
        <v>97</v>
      </c>
      <c r="C43" s="76" t="s">
        <v>2</v>
      </c>
      <c r="D43" s="5">
        <f>+F43-E43</f>
        <v>7500</v>
      </c>
      <c r="E43" s="88">
        <f>+F43*0.25</f>
        <v>2500</v>
      </c>
      <c r="F43" s="136">
        <v>10000</v>
      </c>
    </row>
    <row r="44" spans="2:6" x14ac:dyDescent="0.3">
      <c r="B44" s="103"/>
      <c r="C44" s="24" t="s">
        <v>3</v>
      </c>
      <c r="D44" s="5">
        <f t="shared" ref="D44:D45" si="2">+F44-E44</f>
        <v>11250</v>
      </c>
      <c r="E44" s="88">
        <f t="shared" ref="E44:E45" si="3">+F44*0.25</f>
        <v>3750</v>
      </c>
      <c r="F44" s="137">
        <v>15000</v>
      </c>
    </row>
    <row r="45" spans="2:6" x14ac:dyDescent="0.3">
      <c r="B45" s="104"/>
      <c r="C45" s="24" t="s">
        <v>4</v>
      </c>
      <c r="D45" s="5">
        <f t="shared" si="2"/>
        <v>10125</v>
      </c>
      <c r="E45" s="88">
        <f t="shared" si="3"/>
        <v>3375</v>
      </c>
      <c r="F45" s="137">
        <v>13500</v>
      </c>
    </row>
    <row r="46" spans="2:6" ht="15" thickBot="1" x14ac:dyDescent="0.35">
      <c r="B46" s="90" t="s">
        <v>70</v>
      </c>
      <c r="C46" s="92"/>
      <c r="D46" s="139">
        <f>SUM(D43:D45)</f>
        <v>28875</v>
      </c>
      <c r="E46" s="139">
        <f>SUM(E43:E45)</f>
        <v>9625</v>
      </c>
      <c r="F46" s="138">
        <f>SUM(F43:F45)</f>
        <v>38500</v>
      </c>
    </row>
    <row r="47" spans="2:6" x14ac:dyDescent="0.3">
      <c r="C47" s="5"/>
    </row>
    <row r="48" spans="2:6" x14ac:dyDescent="0.3">
      <c r="C48" s="5"/>
    </row>
    <row r="49" spans="2:5" x14ac:dyDescent="0.3">
      <c r="C49" s="85" t="s">
        <v>2</v>
      </c>
      <c r="D49" s="85" t="s">
        <v>3</v>
      </c>
      <c r="E49" s="85" t="s">
        <v>4</v>
      </c>
    </row>
    <row r="50" spans="2:5" x14ac:dyDescent="0.3">
      <c r="B50" s="53" t="s">
        <v>109</v>
      </c>
      <c r="C50" s="83">
        <f>+D28+E28+D34+D38+F43</f>
        <v>140056.79999999999</v>
      </c>
      <c r="D50" s="83">
        <f>+D29+E29+D35+D39+F44</f>
        <v>174533.02500000002</v>
      </c>
      <c r="E50" s="83">
        <f>+D30+E30+D36+D40+F45</f>
        <v>167740.42499999999</v>
      </c>
    </row>
    <row r="51" spans="2:5" x14ac:dyDescent="0.3">
      <c r="B51" s="53" t="s">
        <v>104</v>
      </c>
      <c r="C51" s="81">
        <f>+C50-C52</f>
        <v>139351.79999999999</v>
      </c>
      <c r="D51" s="81">
        <f>+D50-D52</f>
        <v>173528.02500000002</v>
      </c>
      <c r="E51" s="81">
        <f>+E50-E52</f>
        <v>166795.42499999999</v>
      </c>
    </row>
    <row r="52" spans="2:5" x14ac:dyDescent="0.3">
      <c r="B52" s="53" t="s">
        <v>102</v>
      </c>
      <c r="C52" s="54">
        <v>705</v>
      </c>
      <c r="D52" s="54">
        <v>1005</v>
      </c>
      <c r="E52" s="54">
        <v>945</v>
      </c>
    </row>
    <row r="53" spans="2:5" x14ac:dyDescent="0.3">
      <c r="B53" s="53" t="s">
        <v>117</v>
      </c>
      <c r="C53" s="81">
        <f>+E28+E43</f>
        <v>27670.36</v>
      </c>
      <c r="D53" s="81">
        <f>+E29+E44</f>
        <v>32755.605000000003</v>
      </c>
      <c r="E53" s="81">
        <f>+E30+E45</f>
        <v>31434.084999999999</v>
      </c>
    </row>
    <row r="54" spans="2:5" x14ac:dyDescent="0.3">
      <c r="B54" s="84" t="s">
        <v>105</v>
      </c>
      <c r="C54" s="83">
        <f>+C50-C52-C53</f>
        <v>111681.43999999999</v>
      </c>
      <c r="D54" s="83">
        <f t="shared" ref="D54:E54" si="4">+D50-D52-D53</f>
        <v>140772.42000000001</v>
      </c>
      <c r="E54" s="83">
        <f t="shared" si="4"/>
        <v>135361.34</v>
      </c>
    </row>
    <row r="55" spans="2:5" x14ac:dyDescent="0.3">
      <c r="B55" s="53" t="s">
        <v>106</v>
      </c>
      <c r="C55" s="54">
        <v>30000</v>
      </c>
      <c r="D55" s="54">
        <v>30000</v>
      </c>
      <c r="E55" s="54">
        <v>30000</v>
      </c>
    </row>
    <row r="56" spans="2:5" x14ac:dyDescent="0.3">
      <c r="B56" s="53" t="s">
        <v>107</v>
      </c>
      <c r="C56" s="81">
        <f>+C54*0.2</f>
        <v>22336.288</v>
      </c>
      <c r="D56" s="81">
        <f t="shared" ref="D56:E56" si="5">+D54*0.2</f>
        <v>28154.484000000004</v>
      </c>
      <c r="E56" s="81">
        <f t="shared" si="5"/>
        <v>27072.268</v>
      </c>
    </row>
    <row r="57" spans="2:5" x14ac:dyDescent="0.3">
      <c r="B57" s="53" t="s">
        <v>114</v>
      </c>
      <c r="C57" s="81">
        <f>0.2*C53</f>
        <v>5534.0720000000001</v>
      </c>
      <c r="D57" s="81">
        <f t="shared" ref="D57:E57" si="6">0.2*D53</f>
        <v>6551.121000000001</v>
      </c>
      <c r="E57" s="81">
        <f t="shared" si="6"/>
        <v>6286.817</v>
      </c>
    </row>
    <row r="58" spans="2:5" x14ac:dyDescent="0.3">
      <c r="B58" s="53" t="s">
        <v>113</v>
      </c>
      <c r="C58" s="81">
        <f>+C50*0.2</f>
        <v>28011.360000000001</v>
      </c>
      <c r="D58" s="81">
        <f t="shared" ref="D58:E58" si="7">+D50*0.2</f>
        <v>34906.605000000003</v>
      </c>
      <c r="E58" s="81">
        <f t="shared" si="7"/>
        <v>33548.084999999999</v>
      </c>
    </row>
    <row r="59" spans="2:5" x14ac:dyDescent="0.3">
      <c r="B59" s="100" t="s">
        <v>103</v>
      </c>
      <c r="C59" s="86">
        <f>+E28+D34+E43</f>
        <v>31170.36</v>
      </c>
      <c r="D59" s="86">
        <f>+E29+D35+E44</f>
        <v>46255.605000000003</v>
      </c>
      <c r="E59" s="86">
        <f>+E30+D36+E45</f>
        <v>44434.084999999999</v>
      </c>
    </row>
    <row r="60" spans="2:5" x14ac:dyDescent="0.3">
      <c r="B60" s="53" t="s">
        <v>108</v>
      </c>
      <c r="C60" s="129">
        <v>100000</v>
      </c>
      <c r="D60" s="129">
        <v>100000</v>
      </c>
      <c r="E60" s="129">
        <v>100000</v>
      </c>
    </row>
    <row r="61" spans="2:5" x14ac:dyDescent="0.3">
      <c r="B61" s="130" t="s">
        <v>115</v>
      </c>
      <c r="C61" s="83">
        <f>+C60+C58+C50+C55</f>
        <v>298068.15999999997</v>
      </c>
      <c r="D61" s="83">
        <f>+D60+D58+D50+D55</f>
        <v>339439.63</v>
      </c>
      <c r="E61" s="83">
        <f t="shared" ref="D61:E61" si="8">+E60+E58+E50+E55</f>
        <v>331288.51</v>
      </c>
    </row>
    <row r="63" spans="2:5" x14ac:dyDescent="0.3">
      <c r="C63" s="5"/>
    </row>
    <row r="64" spans="2:5" x14ac:dyDescent="0.3">
      <c r="C64" s="5"/>
    </row>
    <row r="65" spans="2:3" x14ac:dyDescent="0.3">
      <c r="B65" s="1"/>
      <c r="C65" s="60"/>
    </row>
  </sheetData>
  <mergeCells count="19">
    <mergeCell ref="A16:A18"/>
    <mergeCell ref="B16:B18"/>
    <mergeCell ref="C16:C18"/>
    <mergeCell ref="D16:D18"/>
    <mergeCell ref="A7:F7"/>
    <mergeCell ref="A8:A10"/>
    <mergeCell ref="B8:B10"/>
    <mergeCell ref="C8:C10"/>
    <mergeCell ref="A11:F11"/>
    <mergeCell ref="A12:F12"/>
    <mergeCell ref="A4:A6"/>
    <mergeCell ref="B4:B6"/>
    <mergeCell ref="C4:C6"/>
    <mergeCell ref="D4:D6"/>
    <mergeCell ref="B28:B30"/>
    <mergeCell ref="B34:B36"/>
    <mergeCell ref="B38:B40"/>
    <mergeCell ref="B43:B45"/>
    <mergeCell ref="A19:F19"/>
  </mergeCells>
  <phoneticPr fontId="9" type="noConversion"/>
  <pageMargins left="0.7" right="0.7" top="0.75" bottom="0.75" header="0.3" footer="0.3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BD830-B65C-4AFA-ADD8-9258A084954D}">
  <sheetPr>
    <pageSetUpPr fitToPage="1"/>
  </sheetPr>
  <dimension ref="A2:M30"/>
  <sheetViews>
    <sheetView topLeftCell="C13" zoomScaleNormal="100" workbookViewId="0">
      <selection activeCell="I20" sqref="I20:J20"/>
    </sheetView>
  </sheetViews>
  <sheetFormatPr defaultRowHeight="14.4" x14ac:dyDescent="0.3"/>
  <cols>
    <col min="1" max="1" width="0" hidden="1" customWidth="1"/>
    <col min="2" max="2" width="10.5546875" customWidth="1"/>
    <col min="3" max="3" width="34.5546875" customWidth="1"/>
    <col min="4" max="4" width="14.5546875" bestFit="1" customWidth="1"/>
    <col min="5" max="5" width="16.109375" bestFit="1" customWidth="1"/>
    <col min="6" max="6" width="16.109375" hidden="1" customWidth="1"/>
    <col min="7" max="7" width="16.44140625" bestFit="1" customWidth="1"/>
    <col min="8" max="8" width="31.6640625" customWidth="1"/>
    <col min="9" max="9" width="18.5546875" bestFit="1" customWidth="1"/>
    <col min="10" max="10" width="17.5546875" customWidth="1"/>
    <col min="11" max="11" width="22.5546875" bestFit="1" customWidth="1"/>
    <col min="12" max="12" width="22.88671875" customWidth="1"/>
    <col min="13" max="13" width="19.44140625" customWidth="1"/>
  </cols>
  <sheetData>
    <row r="2" spans="1:13" ht="28.8" x14ac:dyDescent="0.3">
      <c r="B2" s="1" t="s">
        <v>67</v>
      </c>
      <c r="L2" s="62" t="s">
        <v>74</v>
      </c>
      <c r="M2" s="64" t="s">
        <v>77</v>
      </c>
    </row>
    <row r="3" spans="1:13" s="3" customFormat="1" ht="28.8" x14ac:dyDescent="0.3">
      <c r="A3" s="26" t="s">
        <v>0</v>
      </c>
      <c r="B3" s="26" t="s">
        <v>69</v>
      </c>
      <c r="C3" s="26" t="s">
        <v>6</v>
      </c>
      <c r="D3" s="26" t="s">
        <v>7</v>
      </c>
      <c r="E3" s="26" t="s">
        <v>8</v>
      </c>
      <c r="F3" s="26"/>
      <c r="G3" s="26" t="s">
        <v>9</v>
      </c>
      <c r="H3" s="26" t="s">
        <v>10</v>
      </c>
      <c r="I3" s="26" t="s">
        <v>1</v>
      </c>
      <c r="J3" s="26" t="s">
        <v>11</v>
      </c>
      <c r="L3" s="2" t="s">
        <v>75</v>
      </c>
    </row>
    <row r="4" spans="1:13" ht="52.2" x14ac:dyDescent="0.3">
      <c r="A4" s="123" t="s">
        <v>12</v>
      </c>
      <c r="B4" s="123">
        <v>1</v>
      </c>
      <c r="C4" s="126" t="s">
        <v>13</v>
      </c>
      <c r="D4" s="123" t="s">
        <v>14</v>
      </c>
      <c r="E4" s="123">
        <v>0.8</v>
      </c>
      <c r="F4" s="123" t="s">
        <v>2</v>
      </c>
      <c r="G4" s="120">
        <v>1000000</v>
      </c>
      <c r="H4" s="74" t="s">
        <v>92</v>
      </c>
      <c r="I4" s="27">
        <v>27365.91</v>
      </c>
      <c r="J4" s="28">
        <f>+I4*0.25</f>
        <v>6841.4775</v>
      </c>
    </row>
    <row r="5" spans="1:13" x14ac:dyDescent="0.3">
      <c r="A5" s="124"/>
      <c r="B5" s="124"/>
      <c r="C5" s="127"/>
      <c r="D5" s="124"/>
      <c r="E5" s="124"/>
      <c r="F5" s="124"/>
      <c r="G5" s="121"/>
      <c r="H5" s="75" t="s">
        <v>91</v>
      </c>
      <c r="I5" s="28">
        <v>8670.5300000000007</v>
      </c>
      <c r="J5" s="28">
        <f>+I5*0.25</f>
        <v>2167.6325000000002</v>
      </c>
    </row>
    <row r="6" spans="1:13" ht="30.6" x14ac:dyDescent="0.3">
      <c r="A6" s="124"/>
      <c r="B6" s="124"/>
      <c r="C6" s="127"/>
      <c r="D6" s="124"/>
      <c r="E6" s="124"/>
      <c r="F6" s="124"/>
      <c r="G6" s="121"/>
      <c r="H6" s="29" t="s">
        <v>15</v>
      </c>
      <c r="I6" s="28">
        <v>18988.599999999999</v>
      </c>
      <c r="J6" s="28">
        <f>+I6*0.25</f>
        <v>4747.1499999999996</v>
      </c>
    </row>
    <row r="7" spans="1:13" ht="31.8" x14ac:dyDescent="0.3">
      <c r="A7" s="125"/>
      <c r="B7" s="125"/>
      <c r="C7" s="128"/>
      <c r="D7" s="125"/>
      <c r="E7" s="125"/>
      <c r="F7" s="125"/>
      <c r="G7" s="122"/>
      <c r="H7" s="30" t="s">
        <v>22</v>
      </c>
      <c r="I7" s="28">
        <v>45656.4</v>
      </c>
      <c r="J7" s="28">
        <f>+I7*0.25</f>
        <v>11414.1</v>
      </c>
      <c r="K7" s="2"/>
    </row>
    <row r="8" spans="1:13" x14ac:dyDescent="0.3">
      <c r="A8" s="39" t="s">
        <v>5</v>
      </c>
      <c r="B8" s="40"/>
      <c r="C8" s="40"/>
      <c r="D8" s="40"/>
      <c r="E8" s="40"/>
      <c r="F8" s="40"/>
      <c r="G8" s="40"/>
      <c r="H8" s="38" t="s">
        <v>5</v>
      </c>
      <c r="I8" s="28">
        <f>+SUM(I4:I7)</f>
        <v>100681.44</v>
      </c>
      <c r="J8" s="28">
        <f>+SUM(J4:J7)</f>
        <v>25170.36</v>
      </c>
      <c r="M8" s="2"/>
    </row>
    <row r="9" spans="1:13" x14ac:dyDescent="0.3">
      <c r="A9" s="46" t="s">
        <v>16</v>
      </c>
      <c r="B9" s="47"/>
      <c r="C9" s="47"/>
      <c r="D9" s="47"/>
      <c r="E9" s="47"/>
      <c r="F9" s="47"/>
      <c r="G9" s="47"/>
      <c r="H9" s="47"/>
      <c r="I9" s="43" t="s">
        <v>16</v>
      </c>
      <c r="J9" s="31">
        <f>+J8+I8</f>
        <v>125851.8</v>
      </c>
      <c r="K9" s="28"/>
      <c r="L9" s="61">
        <f>(J9+'riliev_Lotti 1-2-3'!G16)*2</f>
        <v>271703.59999999998</v>
      </c>
      <c r="M9" s="65">
        <f>+G4*1.5</f>
        <v>1500000</v>
      </c>
    </row>
    <row r="10" spans="1:13" ht="52.2" x14ac:dyDescent="0.3">
      <c r="A10" s="123" t="s">
        <v>17</v>
      </c>
      <c r="B10" s="123">
        <v>2</v>
      </c>
      <c r="C10" s="126" t="s">
        <v>13</v>
      </c>
      <c r="D10" s="123" t="s">
        <v>14</v>
      </c>
      <c r="E10" s="123">
        <v>0.8</v>
      </c>
      <c r="F10" s="123" t="s">
        <v>3</v>
      </c>
      <c r="G10" s="120">
        <v>1200000</v>
      </c>
      <c r="H10" s="74" t="s">
        <v>92</v>
      </c>
      <c r="I10" s="28">
        <v>31522</v>
      </c>
      <c r="J10" s="28">
        <f>+I10*0.25</f>
        <v>7880.5</v>
      </c>
    </row>
    <row r="11" spans="1:13" x14ac:dyDescent="0.3">
      <c r="A11" s="124"/>
      <c r="B11" s="124"/>
      <c r="C11" s="127"/>
      <c r="D11" s="124"/>
      <c r="E11" s="124"/>
      <c r="F11" s="124"/>
      <c r="G11" s="121"/>
      <c r="H11" s="75" t="s">
        <v>91</v>
      </c>
      <c r="I11" s="28">
        <v>9796.58</v>
      </c>
      <c r="J11" s="28">
        <f t="shared" ref="J11:J13" si="0">+I11*0.25</f>
        <v>2449.145</v>
      </c>
    </row>
    <row r="12" spans="1:13" ht="30.6" x14ac:dyDescent="0.3">
      <c r="A12" s="124"/>
      <c r="B12" s="124"/>
      <c r="C12" s="127"/>
      <c r="D12" s="124"/>
      <c r="E12" s="124"/>
      <c r="F12" s="124"/>
      <c r="G12" s="121"/>
      <c r="H12" s="29" t="s">
        <v>15</v>
      </c>
      <c r="I12" s="28">
        <v>21872.39</v>
      </c>
      <c r="J12" s="28">
        <f t="shared" si="0"/>
        <v>5468.0974999999999</v>
      </c>
    </row>
    <row r="13" spans="1:13" ht="31.8" x14ac:dyDescent="0.3">
      <c r="A13" s="125"/>
      <c r="B13" s="125"/>
      <c r="C13" s="128"/>
      <c r="D13" s="125"/>
      <c r="E13" s="125"/>
      <c r="F13" s="125"/>
      <c r="G13" s="122"/>
      <c r="H13" s="30" t="s">
        <v>22</v>
      </c>
      <c r="I13" s="28">
        <v>52831.450000000004</v>
      </c>
      <c r="J13" s="28">
        <f t="shared" si="0"/>
        <v>13207.862500000001</v>
      </c>
    </row>
    <row r="14" spans="1:13" x14ac:dyDescent="0.3">
      <c r="A14" s="32"/>
      <c r="B14" s="32"/>
      <c r="C14" s="32"/>
      <c r="D14" s="32"/>
      <c r="E14" s="32"/>
      <c r="F14" s="32"/>
      <c r="G14" s="32"/>
      <c r="H14" s="33" t="s">
        <v>5</v>
      </c>
      <c r="I14" s="34">
        <f>+SUM(I10:I13)</f>
        <v>116022.42000000001</v>
      </c>
      <c r="J14" s="35">
        <f>+SUM(J10:J13)</f>
        <v>29005.605000000003</v>
      </c>
    </row>
    <row r="15" spans="1:13" x14ac:dyDescent="0.3">
      <c r="A15" s="46" t="s">
        <v>18</v>
      </c>
      <c r="B15" s="47"/>
      <c r="C15" s="47"/>
      <c r="D15" s="47"/>
      <c r="E15" s="47"/>
      <c r="F15" s="47"/>
      <c r="G15" s="47"/>
      <c r="H15" s="47"/>
      <c r="I15" s="43" t="s">
        <v>18</v>
      </c>
      <c r="J15" s="31">
        <f>+J14+I14</f>
        <v>145028.02500000002</v>
      </c>
      <c r="L15" s="61">
        <f>(J15+'riliev_Lotti 1-2-3'!G17)*2</f>
        <v>320056.05000000005</v>
      </c>
      <c r="M15" s="65">
        <f>+G10*1.5</f>
        <v>1800000</v>
      </c>
    </row>
    <row r="16" spans="1:13" ht="52.2" x14ac:dyDescent="0.3">
      <c r="A16" s="123" t="s">
        <v>19</v>
      </c>
      <c r="B16" s="123">
        <v>3</v>
      </c>
      <c r="C16" s="126" t="s">
        <v>13</v>
      </c>
      <c r="D16" s="123" t="s">
        <v>14</v>
      </c>
      <c r="E16" s="123">
        <v>0.8</v>
      </c>
      <c r="F16" s="123" t="s">
        <v>4</v>
      </c>
      <c r="G16" s="120">
        <v>1150000</v>
      </c>
      <c r="H16" s="74" t="s">
        <v>92</v>
      </c>
      <c r="I16" s="28">
        <v>30494.80999999999</v>
      </c>
      <c r="J16" s="28">
        <f>+I16*0.25</f>
        <v>7623.7024999999976</v>
      </c>
    </row>
    <row r="17" spans="1:13" x14ac:dyDescent="0.3">
      <c r="A17" s="124"/>
      <c r="B17" s="124"/>
      <c r="C17" s="127"/>
      <c r="D17" s="124"/>
      <c r="E17" s="124"/>
      <c r="F17" s="124"/>
      <c r="G17" s="121"/>
      <c r="H17" s="75" t="s">
        <v>91</v>
      </c>
      <c r="I17" s="28">
        <v>9522.66</v>
      </c>
      <c r="J17" s="28">
        <f t="shared" ref="J17:J19" si="1">+I17*0.25</f>
        <v>2380.665</v>
      </c>
    </row>
    <row r="18" spans="1:13" ht="30.6" x14ac:dyDescent="0.3">
      <c r="A18" s="124"/>
      <c r="B18" s="124"/>
      <c r="C18" s="127"/>
      <c r="D18" s="124"/>
      <c r="E18" s="124"/>
      <c r="F18" s="124"/>
      <c r="G18" s="121"/>
      <c r="H18" s="29" t="s">
        <v>15</v>
      </c>
      <c r="I18" s="28">
        <v>21159.68</v>
      </c>
      <c r="J18" s="28">
        <f t="shared" si="1"/>
        <v>5289.92</v>
      </c>
    </row>
    <row r="19" spans="1:13" ht="31.8" x14ac:dyDescent="0.3">
      <c r="A19" s="125"/>
      <c r="B19" s="125"/>
      <c r="C19" s="128"/>
      <c r="D19" s="125"/>
      <c r="E19" s="125"/>
      <c r="F19" s="125"/>
      <c r="G19" s="122"/>
      <c r="H19" s="30" t="s">
        <v>22</v>
      </c>
      <c r="I19" s="36">
        <v>51059.19</v>
      </c>
      <c r="J19" s="28">
        <f t="shared" si="1"/>
        <v>12764.797500000001</v>
      </c>
    </row>
    <row r="20" spans="1:13" x14ac:dyDescent="0.3">
      <c r="A20" s="41" t="s">
        <v>5</v>
      </c>
      <c r="B20" s="42"/>
      <c r="C20" s="42"/>
      <c r="D20" s="42"/>
      <c r="E20" s="42"/>
      <c r="F20" s="42"/>
      <c r="G20" s="42"/>
      <c r="H20" s="33" t="s">
        <v>5</v>
      </c>
      <c r="I20" s="34">
        <f>+SUM(I16:I19)</f>
        <v>112236.34</v>
      </c>
      <c r="J20" s="35">
        <f>+SUM(J16:J19)</f>
        <v>28059.084999999999</v>
      </c>
    </row>
    <row r="21" spans="1:13" x14ac:dyDescent="0.3">
      <c r="A21" s="44" t="s">
        <v>20</v>
      </c>
      <c r="B21" s="45"/>
      <c r="C21" s="45"/>
      <c r="D21" s="45"/>
      <c r="E21" s="45"/>
      <c r="F21" s="45"/>
      <c r="G21" s="45"/>
      <c r="H21" s="45"/>
      <c r="I21" s="43" t="s">
        <v>20</v>
      </c>
      <c r="J21" s="31">
        <f>+J20+I20</f>
        <v>140295.42499999999</v>
      </c>
      <c r="L21" s="61">
        <f>(J21+'riliev_Lotti 1-2-3'!G18)*2</f>
        <v>307590.84999999998</v>
      </c>
      <c r="M21" s="65">
        <f>+G16*1.5</f>
        <v>1725000</v>
      </c>
    </row>
    <row r="22" spans="1:13" x14ac:dyDescent="0.3">
      <c r="A22" s="49" t="s">
        <v>21</v>
      </c>
      <c r="B22" s="50"/>
      <c r="C22" s="50"/>
      <c r="D22" s="50"/>
      <c r="E22" s="50"/>
      <c r="F22" s="50"/>
      <c r="G22" s="50"/>
      <c r="H22" s="50"/>
      <c r="I22" s="48" t="s">
        <v>21</v>
      </c>
      <c r="J22" s="37">
        <f>+J21+J15+J9</f>
        <v>411175.25</v>
      </c>
      <c r="K22" s="5"/>
    </row>
    <row r="24" spans="1:13" x14ac:dyDescent="0.3">
      <c r="I24" s="5"/>
    </row>
    <row r="25" spans="1:13" x14ac:dyDescent="0.3">
      <c r="J25" s="5"/>
    </row>
    <row r="26" spans="1:13" x14ac:dyDescent="0.3">
      <c r="J26" s="5"/>
    </row>
    <row r="27" spans="1:13" x14ac:dyDescent="0.3">
      <c r="J27" s="5"/>
    </row>
    <row r="28" spans="1:13" x14ac:dyDescent="0.3">
      <c r="L28" s="6"/>
    </row>
    <row r="29" spans="1:13" x14ac:dyDescent="0.3">
      <c r="L29" s="6"/>
    </row>
    <row r="30" spans="1:13" x14ac:dyDescent="0.3">
      <c r="L30" s="6"/>
    </row>
  </sheetData>
  <mergeCells count="21">
    <mergeCell ref="G10:G13"/>
    <mergeCell ref="B10:B13"/>
    <mergeCell ref="A16:A19"/>
    <mergeCell ref="C16:C19"/>
    <mergeCell ref="D16:D19"/>
    <mergeCell ref="E16:E19"/>
    <mergeCell ref="F16:F19"/>
    <mergeCell ref="G16:G19"/>
    <mergeCell ref="B16:B19"/>
    <mergeCell ref="A10:A13"/>
    <mergeCell ref="C10:C13"/>
    <mergeCell ref="D10:D13"/>
    <mergeCell ref="E10:E13"/>
    <mergeCell ref="F10:F13"/>
    <mergeCell ref="G4:G7"/>
    <mergeCell ref="A4:A7"/>
    <mergeCell ref="C4:C7"/>
    <mergeCell ref="D4:D7"/>
    <mergeCell ref="E4:E7"/>
    <mergeCell ref="F4:F7"/>
    <mergeCell ref="B4:B7"/>
  </mergeCells>
  <pageMargins left="0.7" right="0.7" top="0.75" bottom="0.75" header="0.3" footer="0.3"/>
  <pageSetup paperSize="8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2F64A-C7D2-4968-9A3D-6CEFB22B44BA}">
  <dimension ref="A1:G38"/>
  <sheetViews>
    <sheetView workbookViewId="0">
      <selection activeCell="E38" sqref="E38"/>
    </sheetView>
  </sheetViews>
  <sheetFormatPr defaultRowHeight="14.4" x14ac:dyDescent="0.3"/>
  <cols>
    <col min="1" max="1" width="54" customWidth="1"/>
    <col min="2" max="3" width="13.109375" style="11" customWidth="1"/>
    <col min="4" max="4" width="11" bestFit="1" customWidth="1"/>
    <col min="5" max="5" width="12" style="11" bestFit="1" customWidth="1"/>
    <col min="6" max="6" width="11.5546875" bestFit="1" customWidth="1"/>
    <col min="7" max="7" width="11" bestFit="1" customWidth="1"/>
  </cols>
  <sheetData>
    <row r="1" spans="1:4" x14ac:dyDescent="0.3">
      <c r="A1" s="68" t="s">
        <v>79</v>
      </c>
      <c r="B1" s="69">
        <v>1116.98</v>
      </c>
    </row>
    <row r="2" spans="1:4" x14ac:dyDescent="0.3">
      <c r="A2" s="68" t="s">
        <v>78</v>
      </c>
      <c r="B2" s="69">
        <v>837.73</v>
      </c>
    </row>
    <row r="3" spans="1:4" x14ac:dyDescent="0.3">
      <c r="A3" s="68" t="s">
        <v>80</v>
      </c>
      <c r="B3" s="69">
        <v>837.73</v>
      </c>
    </row>
    <row r="4" spans="1:4" x14ac:dyDescent="0.3">
      <c r="A4" s="70" t="s">
        <v>32</v>
      </c>
      <c r="B4" s="71"/>
    </row>
    <row r="5" spans="1:4" x14ac:dyDescent="0.3">
      <c r="A5" s="72" t="s">
        <v>81</v>
      </c>
      <c r="B5" s="71">
        <v>740</v>
      </c>
    </row>
    <row r="6" spans="1:4" x14ac:dyDescent="0.3">
      <c r="A6" s="72" t="s">
        <v>82</v>
      </c>
      <c r="B6" s="71">
        <v>670.19</v>
      </c>
    </row>
    <row r="7" spans="1:4" x14ac:dyDescent="0.3">
      <c r="A7" s="72" t="s">
        <v>83</v>
      </c>
      <c r="B7" s="71">
        <v>1228.67</v>
      </c>
      <c r="C7" s="16" t="s">
        <v>51</v>
      </c>
      <c r="D7" s="5">
        <f>+SUM(B5:B7)</f>
        <v>2638.86</v>
      </c>
    </row>
    <row r="8" spans="1:4" x14ac:dyDescent="0.3">
      <c r="A8" s="68" t="s">
        <v>84</v>
      </c>
      <c r="B8" s="69">
        <v>558.49</v>
      </c>
    </row>
    <row r="9" spans="1:4" ht="30.6" x14ac:dyDescent="0.3">
      <c r="A9" s="8" t="s">
        <v>23</v>
      </c>
      <c r="B9" s="15">
        <v>10052.780000000001</v>
      </c>
      <c r="C9" s="15"/>
    </row>
    <row r="10" spans="1:4" x14ac:dyDescent="0.3">
      <c r="A10" s="8" t="s">
        <v>24</v>
      </c>
      <c r="B10" s="12">
        <v>558.49</v>
      </c>
      <c r="C10" s="12"/>
    </row>
    <row r="11" spans="1:4" x14ac:dyDescent="0.3">
      <c r="A11" s="8" t="s">
        <v>25</v>
      </c>
      <c r="B11" s="15">
        <v>2233.9499999999998</v>
      </c>
      <c r="C11" s="15"/>
    </row>
    <row r="12" spans="1:4" x14ac:dyDescent="0.3">
      <c r="A12" s="8" t="s">
        <v>26</v>
      </c>
      <c r="B12" s="15">
        <v>2792.44</v>
      </c>
      <c r="C12" s="15"/>
    </row>
    <row r="13" spans="1:4" x14ac:dyDescent="0.3">
      <c r="A13" s="8" t="s">
        <v>27</v>
      </c>
      <c r="B13" s="12">
        <v>558.49</v>
      </c>
      <c r="C13" s="12"/>
    </row>
    <row r="14" spans="1:4" x14ac:dyDescent="0.3">
      <c r="A14" s="8" t="s">
        <v>28</v>
      </c>
      <c r="B14" s="15">
        <v>1116.98</v>
      </c>
      <c r="C14" s="15"/>
    </row>
    <row r="15" spans="1:4" x14ac:dyDescent="0.3">
      <c r="A15" s="8" t="s">
        <v>29</v>
      </c>
      <c r="B15" s="15">
        <v>1675.46</v>
      </c>
      <c r="C15" s="15"/>
    </row>
    <row r="16" spans="1:4" x14ac:dyDescent="0.3">
      <c r="A16" s="8" t="s">
        <v>30</v>
      </c>
      <c r="B16" s="15">
        <v>1675.46</v>
      </c>
      <c r="C16" s="15"/>
    </row>
    <row r="17" spans="1:7" x14ac:dyDescent="0.3">
      <c r="A17" s="8" t="s">
        <v>31</v>
      </c>
      <c r="B17" s="15">
        <v>1675.46</v>
      </c>
      <c r="C17" s="15"/>
    </row>
    <row r="18" spans="1:7" x14ac:dyDescent="0.3">
      <c r="A18" s="7" t="s">
        <v>32</v>
      </c>
      <c r="B18" s="13"/>
      <c r="C18" s="13"/>
    </row>
    <row r="19" spans="1:7" x14ac:dyDescent="0.3">
      <c r="A19" s="7" t="s">
        <v>33</v>
      </c>
      <c r="B19" s="16">
        <v>1856.97</v>
      </c>
      <c r="C19" s="16"/>
    </row>
    <row r="20" spans="1:7" x14ac:dyDescent="0.3">
      <c r="A20" s="7" t="s">
        <v>34</v>
      </c>
      <c r="B20" s="16">
        <v>1493.96</v>
      </c>
      <c r="C20" s="16"/>
    </row>
    <row r="21" spans="1:7" x14ac:dyDescent="0.3">
      <c r="A21" s="7" t="s">
        <v>35</v>
      </c>
      <c r="B21" s="16">
        <v>2680.74</v>
      </c>
      <c r="C21" s="16" t="s">
        <v>85</v>
      </c>
      <c r="D21" s="19">
        <f>+SUM(B19:B21)+D7</f>
        <v>8670.5300000000007</v>
      </c>
      <c r="E21" s="11">
        <f>+D21*0.25</f>
        <v>2167.6325000000002</v>
      </c>
    </row>
    <row r="22" spans="1:7" x14ac:dyDescent="0.3">
      <c r="A22" s="8" t="s">
        <v>36</v>
      </c>
      <c r="B22" s="15">
        <v>1116.98</v>
      </c>
      <c r="C22" s="15"/>
    </row>
    <row r="23" spans="1:7" ht="20.399999999999999" x14ac:dyDescent="0.3">
      <c r="A23" s="8" t="s">
        <v>37</v>
      </c>
      <c r="B23" s="12">
        <v>558.49</v>
      </c>
      <c r="C23" s="12" t="s">
        <v>86</v>
      </c>
      <c r="D23" s="19">
        <f>+SUM(B9:B17,B22:B23,B8,B1:B3)</f>
        <v>27365.91</v>
      </c>
      <c r="E23" s="11">
        <f>+D23*0.25</f>
        <v>6841.4775</v>
      </c>
    </row>
    <row r="24" spans="1:7" ht="20.399999999999999" x14ac:dyDescent="0.3">
      <c r="A24" s="9" t="s">
        <v>38</v>
      </c>
      <c r="B24" s="17">
        <v>6143.37</v>
      </c>
      <c r="C24" s="17"/>
    </row>
    <row r="25" spans="1:7" x14ac:dyDescent="0.3">
      <c r="A25" s="9" t="s">
        <v>39</v>
      </c>
      <c r="B25" s="17">
        <v>2792.44</v>
      </c>
      <c r="C25" s="17"/>
    </row>
    <row r="26" spans="1:7" ht="30.6" x14ac:dyDescent="0.3">
      <c r="A26" s="9" t="s">
        <v>40</v>
      </c>
      <c r="B26" s="17">
        <v>2233.9499999999998</v>
      </c>
      <c r="C26" s="17"/>
    </row>
    <row r="27" spans="1:7" ht="20.399999999999999" x14ac:dyDescent="0.3">
      <c r="A27" s="9" t="s">
        <v>41</v>
      </c>
      <c r="B27" s="17">
        <v>1116.98</v>
      </c>
      <c r="C27" s="17"/>
    </row>
    <row r="28" spans="1:7" x14ac:dyDescent="0.3">
      <c r="A28" s="9" t="s">
        <v>42</v>
      </c>
      <c r="B28" s="17">
        <v>1116.98</v>
      </c>
      <c r="C28" s="17"/>
    </row>
    <row r="29" spans="1:7" x14ac:dyDescent="0.3">
      <c r="A29" s="9" t="s">
        <v>43</v>
      </c>
      <c r="B29" s="17">
        <v>5584.88</v>
      </c>
      <c r="C29" s="17" t="s">
        <v>52</v>
      </c>
      <c r="D29" s="19">
        <f>+SUM(B24:B29)</f>
        <v>18988.599999999999</v>
      </c>
      <c r="E29" s="11">
        <f>+D29*0.25</f>
        <v>4747.1499999999996</v>
      </c>
    </row>
    <row r="30" spans="1:7" x14ac:dyDescent="0.3">
      <c r="A30" s="10" t="s">
        <v>44</v>
      </c>
      <c r="B30" s="18">
        <v>23456.5</v>
      </c>
      <c r="C30" s="18"/>
      <c r="G30" s="11"/>
    </row>
    <row r="31" spans="1:7" ht="20.399999999999999" x14ac:dyDescent="0.3">
      <c r="A31" s="10" t="s">
        <v>45</v>
      </c>
      <c r="B31" s="18">
        <v>2233.9499999999998</v>
      </c>
      <c r="C31" s="18"/>
    </row>
    <row r="32" spans="1:7" x14ac:dyDescent="0.3">
      <c r="A32" s="10" t="s">
        <v>46</v>
      </c>
      <c r="B32" s="14"/>
      <c r="C32" s="14"/>
    </row>
    <row r="33" spans="1:6" x14ac:dyDescent="0.3">
      <c r="A33" s="10" t="s">
        <v>47</v>
      </c>
      <c r="B33" s="18">
        <v>1256.5999999999999</v>
      </c>
      <c r="C33" s="18"/>
    </row>
    <row r="34" spans="1:6" x14ac:dyDescent="0.3">
      <c r="A34" s="10" t="s">
        <v>48</v>
      </c>
      <c r="B34" s="18">
        <v>2513.1999999999998</v>
      </c>
      <c r="C34" s="18"/>
    </row>
    <row r="35" spans="1:6" x14ac:dyDescent="0.3">
      <c r="A35" s="10" t="s">
        <v>49</v>
      </c>
      <c r="B35" s="18">
        <v>2233.9499999999998</v>
      </c>
      <c r="C35" s="18"/>
    </row>
    <row r="36" spans="1:6" x14ac:dyDescent="0.3">
      <c r="A36" s="10" t="s">
        <v>50</v>
      </c>
      <c r="B36" s="18">
        <v>13962.2</v>
      </c>
      <c r="C36" s="18" t="s">
        <v>53</v>
      </c>
      <c r="D36" s="19">
        <f>+SUM(B30:B36)</f>
        <v>45656.4</v>
      </c>
      <c r="E36" s="11">
        <f>+D36*0.25</f>
        <v>11414.1</v>
      </c>
    </row>
    <row r="38" spans="1:6" x14ac:dyDescent="0.3">
      <c r="D38" s="19">
        <f>+D36+D29+D23+D21</f>
        <v>100681.44</v>
      </c>
      <c r="E38" s="11">
        <f>+D38*0.25</f>
        <v>25170.36</v>
      </c>
      <c r="F38" s="21">
        <f>+E38+D38</f>
        <v>125851.8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C0B06-5CD3-4674-9761-61E91E237A4D}">
  <dimension ref="A1:G40"/>
  <sheetViews>
    <sheetView topLeftCell="A26" workbookViewId="0">
      <selection activeCell="D23" sqref="D23"/>
    </sheetView>
  </sheetViews>
  <sheetFormatPr defaultRowHeight="14.4" x14ac:dyDescent="0.3"/>
  <cols>
    <col min="1" max="1" width="54" customWidth="1"/>
    <col min="2" max="3" width="13.109375" style="11" customWidth="1"/>
    <col min="4" max="4" width="11.5546875" bestFit="1" customWidth="1"/>
    <col min="5" max="5" width="12" style="11" bestFit="1" customWidth="1"/>
    <col min="6" max="6" width="11.5546875" bestFit="1" customWidth="1"/>
    <col min="7" max="7" width="11" bestFit="1" customWidth="1"/>
  </cols>
  <sheetData>
    <row r="1" spans="1:3" x14ac:dyDescent="0.3">
      <c r="A1" s="68" t="s">
        <v>79</v>
      </c>
      <c r="B1" s="73">
        <v>1286.6099999999999</v>
      </c>
    </row>
    <row r="2" spans="1:3" x14ac:dyDescent="0.3">
      <c r="A2" s="68" t="s">
        <v>78</v>
      </c>
      <c r="B2" s="73">
        <v>964.96</v>
      </c>
    </row>
    <row r="3" spans="1:3" x14ac:dyDescent="0.3">
      <c r="A3" s="68" t="s">
        <v>80</v>
      </c>
      <c r="B3" s="73">
        <v>964.96</v>
      </c>
    </row>
    <row r="4" spans="1:3" ht="13.95" customHeight="1" x14ac:dyDescent="0.3">
      <c r="A4" s="70" t="s">
        <v>32</v>
      </c>
      <c r="B4" s="16"/>
    </row>
    <row r="5" spans="1:3" x14ac:dyDescent="0.3">
      <c r="A5" s="72" t="s">
        <v>81</v>
      </c>
      <c r="B5" s="16">
        <v>710.32</v>
      </c>
    </row>
    <row r="6" spans="1:3" x14ac:dyDescent="0.3">
      <c r="A6" s="72" t="s">
        <v>82</v>
      </c>
      <c r="B6" s="16">
        <v>643.30999999999995</v>
      </c>
    </row>
    <row r="7" spans="1:3" x14ac:dyDescent="0.3">
      <c r="A7" s="72" t="s">
        <v>83</v>
      </c>
      <c r="B7" s="16">
        <v>1179.3900000000001</v>
      </c>
    </row>
    <row r="8" spans="1:3" x14ac:dyDescent="0.3">
      <c r="A8" s="72" t="s">
        <v>87</v>
      </c>
      <c r="B8" s="16">
        <v>468.86</v>
      </c>
    </row>
    <row r="9" spans="1:3" x14ac:dyDescent="0.3">
      <c r="A9" s="68" t="s">
        <v>84</v>
      </c>
      <c r="B9" s="73">
        <v>643.30999999999995</v>
      </c>
    </row>
    <row r="10" spans="1:3" ht="30.6" x14ac:dyDescent="0.3">
      <c r="A10" s="8" t="s">
        <v>23</v>
      </c>
      <c r="B10" s="15">
        <v>11579.5</v>
      </c>
      <c r="C10" s="15"/>
    </row>
    <row r="11" spans="1:3" x14ac:dyDescent="0.3">
      <c r="A11" s="8" t="s">
        <v>24</v>
      </c>
      <c r="B11" s="15">
        <v>643.30999999999995</v>
      </c>
      <c r="C11" s="12"/>
    </row>
    <row r="12" spans="1:3" x14ac:dyDescent="0.3">
      <c r="A12" s="8" t="s">
        <v>25</v>
      </c>
      <c r="B12" s="15">
        <v>2573.2199999999998</v>
      </c>
      <c r="C12" s="15"/>
    </row>
    <row r="13" spans="1:3" x14ac:dyDescent="0.3">
      <c r="A13" s="8" t="s">
        <v>26</v>
      </c>
      <c r="B13" s="15">
        <v>3216.53</v>
      </c>
      <c r="C13" s="15"/>
    </row>
    <row r="14" spans="1:3" x14ac:dyDescent="0.3">
      <c r="A14" s="8" t="s">
        <v>27</v>
      </c>
      <c r="B14" s="15">
        <v>643.30999999999995</v>
      </c>
      <c r="C14" s="12"/>
    </row>
    <row r="15" spans="1:3" x14ac:dyDescent="0.3">
      <c r="A15" s="8" t="s">
        <v>28</v>
      </c>
      <c r="B15" s="15">
        <v>1286.6099999999999</v>
      </c>
      <c r="C15" s="15"/>
    </row>
    <row r="16" spans="1:3" x14ac:dyDescent="0.3">
      <c r="A16" s="8" t="s">
        <v>29</v>
      </c>
      <c r="B16" s="15">
        <v>1929.92</v>
      </c>
      <c r="C16" s="15"/>
    </row>
    <row r="17" spans="1:7" x14ac:dyDescent="0.3">
      <c r="A17" s="8" t="s">
        <v>30</v>
      </c>
      <c r="B17" s="15">
        <v>1929.92</v>
      </c>
      <c r="C17" s="15"/>
    </row>
    <row r="18" spans="1:7" x14ac:dyDescent="0.3">
      <c r="A18" s="8" t="s">
        <v>31</v>
      </c>
      <c r="B18" s="15">
        <v>1929.92</v>
      </c>
      <c r="C18" s="15"/>
    </row>
    <row r="19" spans="1:7" x14ac:dyDescent="0.3">
      <c r="A19" s="7" t="s">
        <v>32</v>
      </c>
      <c r="B19" s="13"/>
      <c r="C19" s="13"/>
    </row>
    <row r="20" spans="1:7" x14ac:dyDescent="0.3">
      <c r="A20" s="7" t="s">
        <v>33</v>
      </c>
      <c r="B20" s="16">
        <v>1782.49</v>
      </c>
      <c r="C20" s="16"/>
    </row>
    <row r="21" spans="1:7" x14ac:dyDescent="0.3">
      <c r="A21" s="7" t="s">
        <v>34</v>
      </c>
      <c r="B21" s="16">
        <v>1434.04</v>
      </c>
      <c r="C21" s="16"/>
    </row>
    <row r="22" spans="1:7" x14ac:dyDescent="0.3">
      <c r="A22" s="7" t="s">
        <v>35</v>
      </c>
      <c r="B22" s="16">
        <v>2573.2199999999998</v>
      </c>
    </row>
    <row r="23" spans="1:7" x14ac:dyDescent="0.3">
      <c r="A23" s="20" t="s">
        <v>55</v>
      </c>
      <c r="B23" s="16">
        <v>1004.95</v>
      </c>
      <c r="C23" s="16" t="s">
        <v>51</v>
      </c>
      <c r="D23" s="19">
        <f>+SUM(B20:B23,B5:B8)</f>
        <v>9796.58</v>
      </c>
      <c r="E23" s="11">
        <f>+D23*0.25</f>
        <v>2449.145</v>
      </c>
    </row>
    <row r="24" spans="1:7" x14ac:dyDescent="0.3">
      <c r="A24" s="8" t="s">
        <v>36</v>
      </c>
      <c r="B24" s="15">
        <v>1286.6099999999999</v>
      </c>
      <c r="C24" s="15"/>
    </row>
    <row r="25" spans="1:7" ht="20.399999999999999" x14ac:dyDescent="0.3">
      <c r="A25" s="8" t="s">
        <v>37</v>
      </c>
      <c r="B25" s="15">
        <v>643.30999999999995</v>
      </c>
      <c r="C25" s="12" t="s">
        <v>88</v>
      </c>
      <c r="D25" s="19">
        <f>+SUM(B10:B18,B24:B25,B9,B1:B3)</f>
        <v>31522</v>
      </c>
      <c r="E25" s="11">
        <f>+D25*0.25</f>
        <v>7880.5</v>
      </c>
    </row>
    <row r="26" spans="1:7" ht="20.399999999999999" x14ac:dyDescent="0.3">
      <c r="A26" s="9" t="s">
        <v>38</v>
      </c>
      <c r="B26" s="17">
        <v>7076.36</v>
      </c>
      <c r="C26" s="17"/>
    </row>
    <row r="27" spans="1:7" x14ac:dyDescent="0.3">
      <c r="A27" s="9" t="s">
        <v>39</v>
      </c>
      <c r="B27" s="17">
        <v>3216.53</v>
      </c>
      <c r="C27" s="17"/>
    </row>
    <row r="28" spans="1:7" ht="30.6" x14ac:dyDescent="0.3">
      <c r="A28" s="9" t="s">
        <v>40</v>
      </c>
      <c r="B28" s="17">
        <v>2573.2199999999998</v>
      </c>
      <c r="C28" s="17"/>
    </row>
    <row r="29" spans="1:7" ht="20.399999999999999" x14ac:dyDescent="0.3">
      <c r="A29" s="9" t="s">
        <v>41</v>
      </c>
      <c r="B29" s="17">
        <v>1286.6099999999999</v>
      </c>
      <c r="C29" s="17"/>
    </row>
    <row r="30" spans="1:7" x14ac:dyDescent="0.3">
      <c r="A30" s="9" t="s">
        <v>42</v>
      </c>
      <c r="B30" s="17">
        <v>1286.6099999999999</v>
      </c>
      <c r="C30" s="17"/>
    </row>
    <row r="31" spans="1:7" x14ac:dyDescent="0.3">
      <c r="A31" s="9" t="s">
        <v>43</v>
      </c>
      <c r="B31" s="17">
        <v>6433.06</v>
      </c>
      <c r="C31" s="17" t="s">
        <v>52</v>
      </c>
      <c r="D31" s="19">
        <f>+SUM(B26:B31)</f>
        <v>21872.39</v>
      </c>
      <c r="E31" s="11">
        <f>+D31*0.25</f>
        <v>5468.0974999999999</v>
      </c>
      <c r="G31" s="11"/>
    </row>
    <row r="32" spans="1:7" x14ac:dyDescent="0.3">
      <c r="A32" s="10" t="s">
        <v>44</v>
      </c>
      <c r="B32" s="18">
        <v>27018.84</v>
      </c>
      <c r="C32" s="18"/>
    </row>
    <row r="33" spans="1:7" ht="20.399999999999999" x14ac:dyDescent="0.3">
      <c r="A33" s="10" t="s">
        <v>45</v>
      </c>
      <c r="B33" s="18">
        <v>2573.2199999999998</v>
      </c>
      <c r="C33" s="18"/>
    </row>
    <row r="34" spans="1:7" x14ac:dyDescent="0.3">
      <c r="A34" s="10" t="s">
        <v>46</v>
      </c>
      <c r="B34" s="14"/>
      <c r="C34" s="14"/>
    </row>
    <row r="35" spans="1:7" x14ac:dyDescent="0.3">
      <c r="A35" s="10" t="s">
        <v>47</v>
      </c>
      <c r="B35" s="18">
        <v>1206.2</v>
      </c>
      <c r="C35" s="18"/>
    </row>
    <row r="36" spans="1:7" x14ac:dyDescent="0.3">
      <c r="A36" s="10" t="s">
        <v>48</v>
      </c>
      <c r="B36" s="18">
        <v>3377.35</v>
      </c>
      <c r="C36" s="18"/>
    </row>
    <row r="37" spans="1:7" x14ac:dyDescent="0.3">
      <c r="A37" s="10" t="s">
        <v>49</v>
      </c>
      <c r="B37" s="18">
        <v>2573.2199999999998</v>
      </c>
      <c r="C37" s="18"/>
    </row>
    <row r="38" spans="1:7" x14ac:dyDescent="0.3">
      <c r="A38" s="10" t="s">
        <v>50</v>
      </c>
      <c r="B38" s="18">
        <v>16082.62</v>
      </c>
      <c r="C38" s="18" t="s">
        <v>53</v>
      </c>
      <c r="D38" s="19">
        <f>+SUM(B32:B38)</f>
        <v>52831.450000000004</v>
      </c>
      <c r="E38" s="11">
        <f>+D38*0.25</f>
        <v>13207.862500000001</v>
      </c>
    </row>
    <row r="40" spans="1:7" x14ac:dyDescent="0.3">
      <c r="D40" s="19">
        <f>+D38+D31+D25+D23</f>
        <v>116022.42</v>
      </c>
      <c r="E40" s="11">
        <f>+D40*0.25</f>
        <v>29005.605</v>
      </c>
      <c r="F40" s="21">
        <f>+E40+D40</f>
        <v>145028.02499999999</v>
      </c>
      <c r="G40" t="s">
        <v>89</v>
      </c>
    </row>
  </sheetData>
  <phoneticPr fontId="9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38058-7E46-4201-806E-30800492BA86}">
  <dimension ref="A1:G40"/>
  <sheetViews>
    <sheetView topLeftCell="A10" workbookViewId="0">
      <selection activeCell="D25" sqref="D25"/>
    </sheetView>
  </sheetViews>
  <sheetFormatPr defaultRowHeight="14.4" x14ac:dyDescent="0.3"/>
  <cols>
    <col min="1" max="1" width="54" customWidth="1"/>
    <col min="2" max="3" width="13.109375" style="11" customWidth="1"/>
    <col min="4" max="4" width="11.5546875" bestFit="1" customWidth="1"/>
    <col min="5" max="5" width="12" style="11" bestFit="1" customWidth="1"/>
    <col min="6" max="6" width="11.5546875" bestFit="1" customWidth="1"/>
    <col min="7" max="7" width="11" bestFit="1" customWidth="1"/>
  </cols>
  <sheetData>
    <row r="1" spans="1:3" x14ac:dyDescent="0.3">
      <c r="A1" s="68" t="s">
        <v>79</v>
      </c>
      <c r="B1" s="16">
        <v>1244.69</v>
      </c>
    </row>
    <row r="2" spans="1:3" x14ac:dyDescent="0.3">
      <c r="A2" s="68" t="s">
        <v>78</v>
      </c>
      <c r="B2" s="16">
        <v>933.51</v>
      </c>
    </row>
    <row r="3" spans="1:3" x14ac:dyDescent="0.3">
      <c r="A3" s="68" t="s">
        <v>80</v>
      </c>
      <c r="B3" s="16">
        <v>933.51</v>
      </c>
    </row>
    <row r="4" spans="1:3" ht="13.95" customHeight="1" x14ac:dyDescent="0.3">
      <c r="A4" s="70" t="s">
        <v>32</v>
      </c>
      <c r="B4" s="16"/>
    </row>
    <row r="5" spans="1:3" x14ac:dyDescent="0.3">
      <c r="A5" s="72" t="s">
        <v>81</v>
      </c>
      <c r="B5" s="16">
        <v>717.05</v>
      </c>
    </row>
    <row r="6" spans="1:3" x14ac:dyDescent="0.3">
      <c r="A6" s="72" t="s">
        <v>82</v>
      </c>
      <c r="B6" s="16">
        <v>649.4</v>
      </c>
    </row>
    <row r="7" spans="1:3" x14ac:dyDescent="0.3">
      <c r="A7" s="72" t="s">
        <v>83</v>
      </c>
      <c r="B7" s="16">
        <v>1190.57</v>
      </c>
    </row>
    <row r="8" spans="1:3" x14ac:dyDescent="0.3">
      <c r="A8" s="72" t="s">
        <v>90</v>
      </c>
      <c r="B8" s="16">
        <v>355.55</v>
      </c>
    </row>
    <row r="9" spans="1:3" x14ac:dyDescent="0.3">
      <c r="A9" s="68" t="s">
        <v>84</v>
      </c>
      <c r="B9" s="16">
        <v>622.34</v>
      </c>
    </row>
    <row r="10" spans="1:3" ht="30.6" x14ac:dyDescent="0.3">
      <c r="A10" s="8" t="s">
        <v>23</v>
      </c>
      <c r="B10" s="15">
        <v>11202.18</v>
      </c>
      <c r="C10" s="15"/>
    </row>
    <row r="11" spans="1:3" x14ac:dyDescent="0.3">
      <c r="A11" s="8" t="s">
        <v>24</v>
      </c>
      <c r="B11" s="15">
        <v>622.34</v>
      </c>
      <c r="C11" s="12"/>
    </row>
    <row r="12" spans="1:3" x14ac:dyDescent="0.3">
      <c r="A12" s="8" t="s">
        <v>25</v>
      </c>
      <c r="B12" s="15">
        <v>2489.37</v>
      </c>
      <c r="C12" s="15"/>
    </row>
    <row r="13" spans="1:3" x14ac:dyDescent="0.3">
      <c r="A13" s="8" t="s">
        <v>26</v>
      </c>
      <c r="B13" s="15">
        <v>3111.72</v>
      </c>
      <c r="C13" s="15"/>
    </row>
    <row r="14" spans="1:3" x14ac:dyDescent="0.3">
      <c r="A14" s="8" t="s">
        <v>27</v>
      </c>
      <c r="B14" s="15">
        <v>622.34</v>
      </c>
      <c r="C14" s="12"/>
    </row>
    <row r="15" spans="1:3" x14ac:dyDescent="0.3">
      <c r="A15" s="8" t="s">
        <v>28</v>
      </c>
      <c r="B15" s="15">
        <v>1244.69</v>
      </c>
      <c r="C15" s="15"/>
    </row>
    <row r="16" spans="1:3" x14ac:dyDescent="0.3">
      <c r="A16" s="8" t="s">
        <v>29</v>
      </c>
      <c r="B16" s="15">
        <v>1867.03</v>
      </c>
      <c r="C16" s="15"/>
    </row>
    <row r="17" spans="1:7" x14ac:dyDescent="0.3">
      <c r="A17" s="8" t="s">
        <v>30</v>
      </c>
      <c r="B17" s="15">
        <v>1867.03</v>
      </c>
      <c r="C17" s="15"/>
    </row>
    <row r="18" spans="1:7" x14ac:dyDescent="0.3">
      <c r="A18" s="8" t="s">
        <v>31</v>
      </c>
      <c r="B18" s="15">
        <v>1867.03</v>
      </c>
      <c r="C18" s="15"/>
    </row>
    <row r="19" spans="1:7" x14ac:dyDescent="0.3">
      <c r="A19" s="7" t="s">
        <v>32</v>
      </c>
      <c r="B19" s="13"/>
      <c r="C19" s="13"/>
    </row>
    <row r="20" spans="1:7" x14ac:dyDescent="0.3">
      <c r="A20" s="7" t="s">
        <v>33</v>
      </c>
      <c r="B20" s="16">
        <v>1799.38</v>
      </c>
      <c r="C20" s="16"/>
    </row>
    <row r="21" spans="1:7" x14ac:dyDescent="0.3">
      <c r="A21" s="7" t="s">
        <v>34</v>
      </c>
      <c r="B21" s="16">
        <v>1447.62</v>
      </c>
      <c r="C21" s="16"/>
    </row>
    <row r="22" spans="1:7" x14ac:dyDescent="0.3">
      <c r="A22" s="7" t="s">
        <v>35</v>
      </c>
      <c r="B22" s="16">
        <v>2597.61</v>
      </c>
    </row>
    <row r="23" spans="1:7" x14ac:dyDescent="0.3">
      <c r="A23" s="20" t="s">
        <v>54</v>
      </c>
      <c r="B23" s="16">
        <v>765.48</v>
      </c>
      <c r="C23" s="16" t="s">
        <v>51</v>
      </c>
      <c r="D23" s="19">
        <f>+SUM(B20:B23,B5:B8)</f>
        <v>9522.66</v>
      </c>
      <c r="E23" s="11">
        <f>+D23*0.25</f>
        <v>2380.665</v>
      </c>
    </row>
    <row r="24" spans="1:7" x14ac:dyDescent="0.3">
      <c r="A24" s="8" t="s">
        <v>36</v>
      </c>
      <c r="B24" s="15">
        <v>1244.69</v>
      </c>
      <c r="C24" s="15"/>
    </row>
    <row r="25" spans="1:7" ht="20.399999999999999" x14ac:dyDescent="0.3">
      <c r="A25" s="8" t="s">
        <v>37</v>
      </c>
      <c r="B25" s="15">
        <v>622.34</v>
      </c>
      <c r="C25" s="12" t="s">
        <v>88</v>
      </c>
      <c r="D25" s="19">
        <f>+SUM(B10:B18,B24:B25,B9,B1:B3)</f>
        <v>30494.80999999999</v>
      </c>
      <c r="E25" s="11">
        <f>+D25*0.25</f>
        <v>7623.7024999999976</v>
      </c>
    </row>
    <row r="26" spans="1:7" ht="20.399999999999999" x14ac:dyDescent="0.3">
      <c r="A26" s="9" t="s">
        <v>38</v>
      </c>
      <c r="B26" s="17">
        <v>6845.78</v>
      </c>
      <c r="C26" s="17"/>
    </row>
    <row r="27" spans="1:7" x14ac:dyDescent="0.3">
      <c r="A27" s="9" t="s">
        <v>39</v>
      </c>
      <c r="B27" s="17">
        <v>3111.72</v>
      </c>
      <c r="C27" s="17"/>
    </row>
    <row r="28" spans="1:7" ht="30.6" x14ac:dyDescent="0.3">
      <c r="A28" s="9" t="s">
        <v>40</v>
      </c>
      <c r="B28" s="17">
        <v>2489.37</v>
      </c>
      <c r="C28" s="17"/>
    </row>
    <row r="29" spans="1:7" ht="20.399999999999999" x14ac:dyDescent="0.3">
      <c r="A29" s="9" t="s">
        <v>41</v>
      </c>
      <c r="B29" s="17">
        <v>1244.69</v>
      </c>
      <c r="C29" s="17"/>
    </row>
    <row r="30" spans="1:7" x14ac:dyDescent="0.3">
      <c r="A30" s="9" t="s">
        <v>42</v>
      </c>
      <c r="B30" s="17">
        <v>1244.69</v>
      </c>
      <c r="C30" s="17"/>
    </row>
    <row r="31" spans="1:7" x14ac:dyDescent="0.3">
      <c r="A31" s="9" t="s">
        <v>43</v>
      </c>
      <c r="B31" s="17">
        <v>6223.43</v>
      </c>
      <c r="C31" s="17" t="s">
        <v>52</v>
      </c>
      <c r="D31" s="19">
        <f>+SUM(B26:B31)</f>
        <v>21159.68</v>
      </c>
      <c r="E31" s="11">
        <f>+D31*0.25</f>
        <v>5289.92</v>
      </c>
      <c r="G31" s="11"/>
    </row>
    <row r="32" spans="1:7" x14ac:dyDescent="0.3">
      <c r="A32" s="10" t="s">
        <v>44</v>
      </c>
      <c r="B32" s="18">
        <v>26138.41</v>
      </c>
      <c r="C32" s="18"/>
    </row>
    <row r="33" spans="1:7" ht="20.399999999999999" x14ac:dyDescent="0.3">
      <c r="A33" s="10" t="s">
        <v>45</v>
      </c>
      <c r="B33" s="18">
        <v>2489.37</v>
      </c>
      <c r="C33" s="18"/>
    </row>
    <row r="34" spans="1:7" x14ac:dyDescent="0.3">
      <c r="A34" s="10" t="s">
        <v>46</v>
      </c>
      <c r="B34" s="14"/>
      <c r="C34" s="14"/>
    </row>
    <row r="35" spans="1:7" x14ac:dyDescent="0.3">
      <c r="A35" s="10" t="s">
        <v>47</v>
      </c>
      <c r="B35" s="18">
        <v>1217.6300000000001</v>
      </c>
      <c r="C35" s="18"/>
    </row>
    <row r="36" spans="1:7" x14ac:dyDescent="0.3">
      <c r="A36" s="10" t="s">
        <v>48</v>
      </c>
      <c r="B36" s="18">
        <v>3165.83</v>
      </c>
      <c r="C36" s="18"/>
    </row>
    <row r="37" spans="1:7" x14ac:dyDescent="0.3">
      <c r="A37" s="10" t="s">
        <v>49</v>
      </c>
      <c r="B37" s="18">
        <v>2489.37</v>
      </c>
      <c r="C37" s="18"/>
    </row>
    <row r="38" spans="1:7" x14ac:dyDescent="0.3">
      <c r="A38" s="10" t="s">
        <v>50</v>
      </c>
      <c r="B38" s="18">
        <v>15558.58</v>
      </c>
      <c r="C38" s="18" t="s">
        <v>53</v>
      </c>
      <c r="D38" s="19">
        <f>+SUM(B32:B38)</f>
        <v>51059.19</v>
      </c>
      <c r="E38" s="11">
        <f>+D38*0.25</f>
        <v>12764.797500000001</v>
      </c>
    </row>
    <row r="40" spans="1:7" x14ac:dyDescent="0.3">
      <c r="D40" s="19">
        <f>+D38+D31+D25+D23</f>
        <v>112236.34</v>
      </c>
      <c r="E40" s="11">
        <f>+D40*0.25</f>
        <v>28059.084999999999</v>
      </c>
      <c r="F40" s="21">
        <f>+E40+D40</f>
        <v>140295.42499999999</v>
      </c>
      <c r="G40" t="s">
        <v>89</v>
      </c>
    </row>
  </sheetData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riliev_Lotti 1-2-3</vt:lpstr>
      <vt:lpstr>parcel_Lotti 1-2-3 </vt:lpstr>
      <vt:lpstr>LOTTO1</vt:lpstr>
      <vt:lpstr>LOTTO2</vt:lpstr>
      <vt:lpstr>LOTTO3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Bovo Marina</dc:creator>
  <cp:lastModifiedBy>Marina Bovo</cp:lastModifiedBy>
  <cp:lastPrinted>2023-08-28T13:22:36Z</cp:lastPrinted>
  <dcterms:created xsi:type="dcterms:W3CDTF">2023-03-15T09:04:19Z</dcterms:created>
  <dcterms:modified xsi:type="dcterms:W3CDTF">2023-08-31T16:49:48Z</dcterms:modified>
</cp:coreProperties>
</file>